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1_{6FD180A0-32DE-43B7-8CFC-8D2DF4E78171}" xr6:coauthVersionLast="45" xr6:coauthVersionMax="45" xr10:uidLastSave="{00000000-0000-0000-0000-000000000000}"/>
  <bookViews>
    <workbookView xWindow="-103" yWindow="-103" windowWidth="22149" windowHeight="11949" xr2:uid="{5979CD1B-EC2A-4846-9D05-796AF6869551}"/>
  </bookViews>
  <sheets>
    <sheet name="Financials" sheetId="3" r:id="rId1"/>
    <sheet name="Empty" sheetId="1" r:id="rId2"/>
    <sheet name="Completed" sheetId="2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3" l="1"/>
  <c r="J10" i="3"/>
  <c r="G31" i="3"/>
  <c r="H31" i="3" s="1"/>
  <c r="I31" i="3" s="1"/>
  <c r="J31" i="3" s="1"/>
  <c r="G77" i="3"/>
  <c r="H77" i="3" s="1"/>
  <c r="I77" i="3" s="1"/>
  <c r="J77" i="3" s="1"/>
  <c r="F232" i="2"/>
  <c r="G232" i="2"/>
  <c r="H232" i="2"/>
  <c r="I232" i="2"/>
  <c r="J232" i="2"/>
  <c r="F237" i="2"/>
  <c r="G237" i="2"/>
  <c r="H237" i="2"/>
  <c r="I237" i="2"/>
  <c r="J237" i="2"/>
  <c r="E242" i="2"/>
  <c r="F242" i="2"/>
  <c r="G242" i="2"/>
  <c r="H242" i="2"/>
  <c r="I242" i="2"/>
  <c r="J242" i="2"/>
  <c r="E247" i="2"/>
  <c r="F247" i="2"/>
  <c r="G247" i="2"/>
  <c r="H247" i="2"/>
  <c r="I247" i="2"/>
  <c r="J247" i="2"/>
  <c r="E252" i="2"/>
  <c r="F252" i="2"/>
  <c r="G252" i="2"/>
  <c r="H252" i="2"/>
  <c r="I252" i="2"/>
  <c r="J252" i="2"/>
  <c r="F257" i="2"/>
  <c r="G257" i="2"/>
  <c r="H257" i="2"/>
  <c r="I257" i="2"/>
  <c r="J257" i="2"/>
  <c r="F262" i="2"/>
  <c r="G262" i="2"/>
  <c r="H262" i="2"/>
  <c r="I262" i="2"/>
  <c r="J262" i="2"/>
  <c r="E105" i="2"/>
  <c r="J13" i="3" l="1"/>
  <c r="J15" i="3" s="1"/>
  <c r="J17" i="3" s="1"/>
  <c r="E23" i="3" l="1"/>
  <c r="E26" i="3" s="1"/>
  <c r="E29" i="3" s="1"/>
  <c r="E12" i="3"/>
  <c r="E17" i="3" s="1"/>
  <c r="J19" i="3" l="1"/>
  <c r="B404" i="1"/>
  <c r="B405" i="1" s="1"/>
  <c r="B406" i="1" s="1"/>
  <c r="B407" i="1" s="1"/>
  <c r="G402" i="1"/>
  <c r="H402" i="1" s="1"/>
  <c r="I402" i="1" s="1"/>
  <c r="J402" i="1" s="1"/>
  <c r="F402" i="1"/>
  <c r="F401" i="1"/>
  <c r="G401" i="1" s="1"/>
  <c r="H401" i="1" s="1"/>
  <c r="I401" i="1" s="1"/>
  <c r="J401" i="1" s="1"/>
  <c r="G384" i="1"/>
  <c r="H384" i="1" s="1"/>
  <c r="G374" i="1"/>
  <c r="H374" i="1" s="1"/>
  <c r="I374" i="1" s="1"/>
  <c r="J374" i="1" s="1"/>
  <c r="G301" i="1"/>
  <c r="H301" i="1" s="1"/>
  <c r="H299" i="1"/>
  <c r="G299" i="1"/>
  <c r="B291" i="1"/>
  <c r="B283" i="1"/>
  <c r="B292" i="1" s="1"/>
  <c r="B282" i="1"/>
  <c r="B281" i="1"/>
  <c r="H269" i="1"/>
  <c r="I269" i="1" s="1"/>
  <c r="J269" i="1" s="1"/>
  <c r="G269" i="1"/>
  <c r="F172" i="1"/>
  <c r="G172" i="1" s="1"/>
  <c r="F102" i="1"/>
  <c r="G102" i="1" s="1"/>
  <c r="G15" i="1"/>
  <c r="G14" i="1"/>
  <c r="C434" i="2"/>
  <c r="C435" i="2" s="1"/>
  <c r="C436" i="2" s="1"/>
  <c r="C432" i="2"/>
  <c r="C431" i="2" s="1"/>
  <c r="C430" i="2" s="1"/>
  <c r="H429" i="2"/>
  <c r="I429" i="2" s="1"/>
  <c r="J429" i="2" s="1"/>
  <c r="F429" i="2"/>
  <c r="E429" i="2" s="1"/>
  <c r="D429" i="2" s="1"/>
  <c r="C422" i="2"/>
  <c r="C423" i="2" s="1"/>
  <c r="C424" i="2" s="1"/>
  <c r="C420" i="2"/>
  <c r="C419" i="2"/>
  <c r="C418" i="2" s="1"/>
  <c r="H417" i="2"/>
  <c r="I417" i="2" s="1"/>
  <c r="J417" i="2" s="1"/>
  <c r="F417" i="2"/>
  <c r="E417" i="2" s="1"/>
  <c r="D417" i="2" s="1"/>
  <c r="E406" i="2"/>
  <c r="B404" i="2"/>
  <c r="B405" i="2" s="1"/>
  <c r="B406" i="2" s="1"/>
  <c r="B407" i="2" s="1"/>
  <c r="F402" i="2"/>
  <c r="G402" i="2" s="1"/>
  <c r="H402" i="2" s="1"/>
  <c r="I402" i="2" s="1"/>
  <c r="J402" i="2" s="1"/>
  <c r="F401" i="2"/>
  <c r="G401" i="2" s="1"/>
  <c r="H401" i="2" s="1"/>
  <c r="I401" i="2" s="1"/>
  <c r="J401" i="2" s="1"/>
  <c r="E396" i="2"/>
  <c r="G387" i="2"/>
  <c r="H387" i="2" s="1"/>
  <c r="I387" i="2" s="1"/>
  <c r="J387" i="2" s="1"/>
  <c r="G384" i="2"/>
  <c r="H384" i="2" s="1"/>
  <c r="G374" i="2"/>
  <c r="H374" i="2" s="1"/>
  <c r="I374" i="2" s="1"/>
  <c r="J374" i="2" s="1"/>
  <c r="D360" i="2"/>
  <c r="D365" i="2" s="1"/>
  <c r="J349" i="2"/>
  <c r="I349" i="2"/>
  <c r="H349" i="2"/>
  <c r="G347" i="2"/>
  <c r="F347" i="2"/>
  <c r="F334" i="2"/>
  <c r="F328" i="2"/>
  <c r="F315" i="2"/>
  <c r="G301" i="2"/>
  <c r="H301" i="2" s="1"/>
  <c r="G299" i="2"/>
  <c r="H299" i="2" s="1"/>
  <c r="H346" i="2" s="1"/>
  <c r="H214" i="2" s="1"/>
  <c r="H215" i="2" s="1"/>
  <c r="B283" i="2"/>
  <c r="B292" i="2" s="1"/>
  <c r="B282" i="2"/>
  <c r="B291" i="2" s="1"/>
  <c r="B281" i="2"/>
  <c r="G273" i="2"/>
  <c r="H273" i="2" s="1"/>
  <c r="I273" i="2" s="1"/>
  <c r="J273" i="2" s="1"/>
  <c r="F273" i="2"/>
  <c r="F274" i="2" s="1"/>
  <c r="G274" i="2" s="1"/>
  <c r="H274" i="2" s="1"/>
  <c r="I274" i="2" s="1"/>
  <c r="J274" i="2" s="1"/>
  <c r="G272" i="2"/>
  <c r="H272" i="2" s="1"/>
  <c r="I272" i="2" s="1"/>
  <c r="J272" i="2" s="1"/>
  <c r="G269" i="2"/>
  <c r="H269" i="2" s="1"/>
  <c r="I269" i="2" s="1"/>
  <c r="J269" i="2" s="1"/>
  <c r="F174" i="2"/>
  <c r="D230" i="2"/>
  <c r="F223" i="2"/>
  <c r="J196" i="2"/>
  <c r="J398" i="2" s="1"/>
  <c r="I196" i="2"/>
  <c r="I398" i="2" s="1"/>
  <c r="I407" i="2" s="1"/>
  <c r="H196" i="2"/>
  <c r="H398" i="2" s="1"/>
  <c r="G196" i="2"/>
  <c r="G398" i="2" s="1"/>
  <c r="F196" i="2"/>
  <c r="F398" i="2" s="1"/>
  <c r="E176" i="2"/>
  <c r="F172" i="2"/>
  <c r="G172" i="2" s="1"/>
  <c r="J167" i="2"/>
  <c r="I167" i="2"/>
  <c r="H167" i="2"/>
  <c r="G167" i="2"/>
  <c r="F167" i="2"/>
  <c r="F165" i="2"/>
  <c r="J158" i="2"/>
  <c r="I158" i="2"/>
  <c r="H158" i="2"/>
  <c r="G158" i="2"/>
  <c r="F158" i="2"/>
  <c r="E158" i="2"/>
  <c r="J153" i="2"/>
  <c r="I153" i="2"/>
  <c r="H153" i="2"/>
  <c r="G153" i="2"/>
  <c r="F153" i="2"/>
  <c r="E153" i="2"/>
  <c r="J148" i="2"/>
  <c r="I148" i="2"/>
  <c r="H148" i="2"/>
  <c r="G148" i="2"/>
  <c r="F148" i="2"/>
  <c r="E148" i="2"/>
  <c r="J143" i="2"/>
  <c r="J131" i="2" s="1"/>
  <c r="I143" i="2"/>
  <c r="I131" i="2" s="1"/>
  <c r="H143" i="2"/>
  <c r="H131" i="2" s="1"/>
  <c r="G143" i="2"/>
  <c r="G131" i="2" s="1"/>
  <c r="F143" i="2"/>
  <c r="F131" i="2" s="1"/>
  <c r="J138" i="2"/>
  <c r="J128" i="2" s="1"/>
  <c r="I138" i="2"/>
  <c r="I128" i="2" s="1"/>
  <c r="H138" i="2"/>
  <c r="H128" i="2" s="1"/>
  <c r="G138" i="2"/>
  <c r="G128" i="2" s="1"/>
  <c r="F138" i="2"/>
  <c r="F128" i="2" s="1"/>
  <c r="J133" i="2"/>
  <c r="J122" i="2" s="1"/>
  <c r="I133" i="2"/>
  <c r="I122" i="2" s="1"/>
  <c r="H133" i="2"/>
  <c r="H122" i="2" s="1"/>
  <c r="G133" i="2"/>
  <c r="F133" i="2"/>
  <c r="F121" i="2" s="1"/>
  <c r="E131" i="2"/>
  <c r="E128" i="2"/>
  <c r="E124" i="2"/>
  <c r="E125" i="2" s="1"/>
  <c r="E122" i="2"/>
  <c r="D117" i="2"/>
  <c r="E113" i="2"/>
  <c r="E114" i="2" s="1"/>
  <c r="E109" i="2"/>
  <c r="E107" i="2"/>
  <c r="F102" i="2"/>
  <c r="G102" i="2" s="1"/>
  <c r="G165" i="2" s="1"/>
  <c r="H89" i="2"/>
  <c r="J89" i="2" s="1"/>
  <c r="G87" i="2"/>
  <c r="G93" i="2" s="1"/>
  <c r="G96" i="2" s="1"/>
  <c r="J86" i="2"/>
  <c r="J85" i="2"/>
  <c r="J84" i="2"/>
  <c r="I79" i="2"/>
  <c r="G76" i="2"/>
  <c r="G81" i="2" s="1"/>
  <c r="J75" i="2"/>
  <c r="J74" i="2"/>
  <c r="J73" i="2"/>
  <c r="I72" i="2"/>
  <c r="E59" i="2"/>
  <c r="J63" i="2" s="1"/>
  <c r="E56" i="2"/>
  <c r="E55" i="2"/>
  <c r="E46" i="2"/>
  <c r="J44" i="2"/>
  <c r="H72" i="2" s="1"/>
  <c r="J72" i="2" s="1"/>
  <c r="D30" i="2"/>
  <c r="E34" i="2" s="1"/>
  <c r="J15" i="2"/>
  <c r="G14" i="2"/>
  <c r="G15" i="2" s="1"/>
  <c r="E13" i="2"/>
  <c r="J43" i="2" s="1"/>
  <c r="E9" i="2"/>
  <c r="J14" i="2" s="1"/>
  <c r="J76" i="2" l="1"/>
  <c r="G98" i="2"/>
  <c r="G328" i="2"/>
  <c r="D364" i="2"/>
  <c r="D366" i="2" s="1"/>
  <c r="J13" i="2"/>
  <c r="J16" i="2" s="1"/>
  <c r="J9" i="2" s="1"/>
  <c r="J10" i="2" s="1"/>
  <c r="E11" i="2" s="1"/>
  <c r="E12" i="2" s="1"/>
  <c r="E130" i="2"/>
  <c r="E181" i="2"/>
  <c r="E237" i="2" s="1"/>
  <c r="E177" i="2"/>
  <c r="G315" i="2"/>
  <c r="H172" i="1"/>
  <c r="H102" i="1"/>
  <c r="I301" i="1"/>
  <c r="I384" i="1"/>
  <c r="I299" i="1"/>
  <c r="F122" i="2"/>
  <c r="F130" i="2"/>
  <c r="G130" i="2" s="1"/>
  <c r="H130" i="2" s="1"/>
  <c r="I130" i="2" s="1"/>
  <c r="J130" i="2" s="1"/>
  <c r="F127" i="2"/>
  <c r="G127" i="2" s="1"/>
  <c r="H127" i="2" s="1"/>
  <c r="F210" i="2"/>
  <c r="F184" i="2"/>
  <c r="G174" i="2"/>
  <c r="G186" i="2" s="1"/>
  <c r="F193" i="2"/>
  <c r="F205" i="2" s="1"/>
  <c r="F186" i="2"/>
  <c r="G121" i="2"/>
  <c r="H121" i="2" s="1"/>
  <c r="F179" i="2"/>
  <c r="J370" i="2"/>
  <c r="J372" i="2" s="1"/>
  <c r="J45" i="2"/>
  <c r="H95" i="2" s="1"/>
  <c r="E14" i="2"/>
  <c r="E54" i="2"/>
  <c r="E57" i="2" s="1"/>
  <c r="J42" i="2"/>
  <c r="H195" i="2"/>
  <c r="H208" i="2" s="1"/>
  <c r="G195" i="2"/>
  <c r="G208" i="2" s="1"/>
  <c r="F195" i="2"/>
  <c r="F208" i="2" s="1"/>
  <c r="J195" i="2"/>
  <c r="J208" i="2" s="1"/>
  <c r="I195" i="2"/>
  <c r="I208" i="2" s="1"/>
  <c r="H397" i="2"/>
  <c r="I384" i="2"/>
  <c r="J64" i="2"/>
  <c r="J65" i="2" s="1"/>
  <c r="G212" i="2"/>
  <c r="H172" i="2"/>
  <c r="G405" i="2"/>
  <c r="G406" i="2"/>
  <c r="G407" i="2"/>
  <c r="E188" i="2"/>
  <c r="E182" i="2"/>
  <c r="H406" i="2"/>
  <c r="H407" i="2"/>
  <c r="H78" i="2"/>
  <c r="J78" i="2" s="1"/>
  <c r="G122" i="2"/>
  <c r="H352" i="2"/>
  <c r="H347" i="2"/>
  <c r="I345" i="2" s="1"/>
  <c r="I301" i="2"/>
  <c r="H328" i="2"/>
  <c r="H315" i="2"/>
  <c r="H102" i="2"/>
  <c r="E404" i="2"/>
  <c r="E407" i="2"/>
  <c r="J366" i="2"/>
  <c r="E403" i="2"/>
  <c r="E405" i="2"/>
  <c r="F407" i="2"/>
  <c r="F405" i="2"/>
  <c r="F406" i="2"/>
  <c r="F404" i="2"/>
  <c r="F211" i="2"/>
  <c r="I299" i="2"/>
  <c r="H336" i="2"/>
  <c r="H350" i="2" l="1"/>
  <c r="I172" i="1"/>
  <c r="I102" i="1"/>
  <c r="J301" i="1"/>
  <c r="J384" i="1"/>
  <c r="J299" i="1"/>
  <c r="H174" i="2"/>
  <c r="H184" i="2" s="1"/>
  <c r="G211" i="2"/>
  <c r="G210" i="2"/>
  <c r="G193" i="2"/>
  <c r="G205" i="2" s="1"/>
  <c r="G179" i="2"/>
  <c r="G184" i="2"/>
  <c r="F124" i="2"/>
  <c r="F125" i="2" s="1"/>
  <c r="G124" i="2"/>
  <c r="I336" i="2"/>
  <c r="J299" i="2"/>
  <c r="J384" i="2"/>
  <c r="I172" i="2"/>
  <c r="H212" i="2"/>
  <c r="H124" i="2"/>
  <c r="I127" i="2"/>
  <c r="I328" i="2"/>
  <c r="I315" i="2"/>
  <c r="J301" i="2"/>
  <c r="J367" i="2"/>
  <c r="F393" i="2"/>
  <c r="I102" i="2"/>
  <c r="H165" i="2"/>
  <c r="I121" i="2"/>
  <c r="E190" i="2"/>
  <c r="E191" i="2"/>
  <c r="E58" i="2"/>
  <c r="G125" i="2" l="1"/>
  <c r="H125" i="2"/>
  <c r="J102" i="1"/>
  <c r="J172" i="1"/>
  <c r="H186" i="2"/>
  <c r="H179" i="2"/>
  <c r="H211" i="2"/>
  <c r="H193" i="2"/>
  <c r="H205" i="2" s="1"/>
  <c r="I174" i="2"/>
  <c r="I193" i="2" s="1"/>
  <c r="I205" i="2" s="1"/>
  <c r="H210" i="2"/>
  <c r="F104" i="2"/>
  <c r="F105" i="2" s="1"/>
  <c r="G104" i="2"/>
  <c r="H104" i="2"/>
  <c r="J56" i="2"/>
  <c r="J57" i="2"/>
  <c r="H80" i="2"/>
  <c r="J80" i="2" s="1"/>
  <c r="J346" i="2"/>
  <c r="J214" i="2" s="1"/>
  <c r="J215" i="2" s="1"/>
  <c r="J336" i="2"/>
  <c r="J121" i="2"/>
  <c r="I212" i="2"/>
  <c r="J172" i="2"/>
  <c r="J212" i="2" s="1"/>
  <c r="E197" i="2"/>
  <c r="E15" i="2"/>
  <c r="J315" i="2"/>
  <c r="J328" i="2"/>
  <c r="I165" i="2"/>
  <c r="J102" i="2"/>
  <c r="J165" i="2" s="1"/>
  <c r="G393" i="2"/>
  <c r="J127" i="2"/>
  <c r="J124" i="2" s="1"/>
  <c r="I124" i="2"/>
  <c r="I125" i="2" s="1"/>
  <c r="J125" i="2" l="1"/>
  <c r="G105" i="2"/>
  <c r="H105" i="2"/>
  <c r="G111" i="2"/>
  <c r="G185" i="2" s="1"/>
  <c r="F175" i="2"/>
  <c r="F176" i="2" s="1"/>
  <c r="F177" i="2" s="1"/>
  <c r="H111" i="2"/>
  <c r="H185" i="2" s="1"/>
  <c r="I179" i="2"/>
  <c r="I211" i="2"/>
  <c r="G175" i="2"/>
  <c r="G176" i="2" s="1"/>
  <c r="I184" i="2"/>
  <c r="I210" i="2"/>
  <c r="I186" i="2"/>
  <c r="J174" i="2"/>
  <c r="J184" i="2" s="1"/>
  <c r="F111" i="2"/>
  <c r="F185" i="2" s="1"/>
  <c r="F112" i="2"/>
  <c r="F187" i="2" s="1"/>
  <c r="F108" i="2"/>
  <c r="F107" i="2" s="1"/>
  <c r="F180" i="2" s="1"/>
  <c r="I104" i="2"/>
  <c r="I105" i="2" s="1"/>
  <c r="H112" i="2"/>
  <c r="H187" i="2" s="1"/>
  <c r="H108" i="2"/>
  <c r="H109" i="2" s="1"/>
  <c r="H175" i="2"/>
  <c r="H176" i="2" s="1"/>
  <c r="G108" i="2"/>
  <c r="G107" i="2" s="1"/>
  <c r="G180" i="2" s="1"/>
  <c r="G112" i="2"/>
  <c r="G187" i="2" s="1"/>
  <c r="H393" i="2"/>
  <c r="E42" i="2"/>
  <c r="E43" i="2"/>
  <c r="E16" i="2"/>
  <c r="J58" i="2"/>
  <c r="E60" i="2"/>
  <c r="E202" i="2"/>
  <c r="E204" i="2" s="1"/>
  <c r="E198" i="2"/>
  <c r="J104" i="2"/>
  <c r="J194" i="2"/>
  <c r="J207" i="2" s="1"/>
  <c r="H194" i="2"/>
  <c r="H207" i="2" s="1"/>
  <c r="G194" i="2"/>
  <c r="G207" i="2" s="1"/>
  <c r="I194" i="2"/>
  <c r="I207" i="2" s="1"/>
  <c r="F194" i="2"/>
  <c r="F207" i="2" s="1"/>
  <c r="H177" i="2" l="1"/>
  <c r="G177" i="2"/>
  <c r="J105" i="2"/>
  <c r="J175" i="2"/>
  <c r="J176" i="2" s="1"/>
  <c r="F181" i="2"/>
  <c r="F188" i="2" s="1"/>
  <c r="F109" i="2"/>
  <c r="J179" i="2"/>
  <c r="G181" i="2"/>
  <c r="G188" i="2" s="1"/>
  <c r="F113" i="2"/>
  <c r="F168" i="2" s="1"/>
  <c r="F212" i="2" s="1"/>
  <c r="J193" i="2"/>
  <c r="J205" i="2" s="1"/>
  <c r="H113" i="2"/>
  <c r="H168" i="2" s="1"/>
  <c r="J210" i="2"/>
  <c r="I111" i="2"/>
  <c r="I185" i="2" s="1"/>
  <c r="I175" i="2"/>
  <c r="I176" i="2" s="1"/>
  <c r="I177" i="2" s="1"/>
  <c r="J186" i="2"/>
  <c r="J211" i="2"/>
  <c r="I112" i="2"/>
  <c r="I187" i="2" s="1"/>
  <c r="G109" i="2"/>
  <c r="I108" i="2"/>
  <c r="G113" i="2"/>
  <c r="G114" i="2" s="1"/>
  <c r="H107" i="2"/>
  <c r="H180" i="2" s="1"/>
  <c r="H181" i="2" s="1"/>
  <c r="H188" i="2" s="1"/>
  <c r="F306" i="2"/>
  <c r="I83" i="2"/>
  <c r="J83" i="2" s="1"/>
  <c r="J87" i="2" s="1"/>
  <c r="E44" i="2"/>
  <c r="I27" i="2"/>
  <c r="J27" i="2" s="1"/>
  <c r="J30" i="2" s="1"/>
  <c r="I393" i="2"/>
  <c r="I92" i="2"/>
  <c r="J92" i="2" s="1"/>
  <c r="E61" i="2"/>
  <c r="H79" i="2" s="1"/>
  <c r="J79" i="2" s="1"/>
  <c r="J81" i="2" s="1"/>
  <c r="J108" i="2"/>
  <c r="J112" i="2"/>
  <c r="J187" i="2" s="1"/>
  <c r="J111" i="2"/>
  <c r="J185" i="2" s="1"/>
  <c r="J209" i="2"/>
  <c r="I209" i="2"/>
  <c r="H209" i="2"/>
  <c r="F209" i="2"/>
  <c r="G209" i="2"/>
  <c r="F323" i="2"/>
  <c r="I28" i="2"/>
  <c r="J28" i="2" s="1"/>
  <c r="I90" i="2"/>
  <c r="J90" i="2" s="1"/>
  <c r="J177" i="2" l="1"/>
  <c r="F182" i="2"/>
  <c r="F114" i="2"/>
  <c r="G182" i="2"/>
  <c r="G168" i="2"/>
  <c r="H182" i="2"/>
  <c r="I113" i="2"/>
  <c r="I168" i="2" s="1"/>
  <c r="H114" i="2"/>
  <c r="I107" i="2"/>
  <c r="I180" i="2" s="1"/>
  <c r="I181" i="2" s="1"/>
  <c r="I182" i="2" s="1"/>
  <c r="I109" i="2"/>
  <c r="H201" i="2"/>
  <c r="H206" i="2" s="1"/>
  <c r="G201" i="2"/>
  <c r="G206" i="2" s="1"/>
  <c r="H91" i="2"/>
  <c r="J91" i="2" s="1"/>
  <c r="J93" i="2" s="1"/>
  <c r="J46" i="2"/>
  <c r="J47" i="2" s="1"/>
  <c r="E49" i="2" s="1"/>
  <c r="F201" i="2"/>
  <c r="F206" i="2" s="1"/>
  <c r="F310" i="2"/>
  <c r="G277" i="2"/>
  <c r="J393" i="2"/>
  <c r="H277" i="2"/>
  <c r="J113" i="2"/>
  <c r="J109" i="2"/>
  <c r="J107" i="2"/>
  <c r="J180" i="2" s="1"/>
  <c r="J181" i="2" s="1"/>
  <c r="F324" i="2"/>
  <c r="F213" i="2" s="1"/>
  <c r="F277" i="2"/>
  <c r="G278" i="2" l="1"/>
  <c r="H278" i="2"/>
  <c r="I114" i="2"/>
  <c r="I188" i="2"/>
  <c r="I277" i="2" s="1"/>
  <c r="I278" i="2" s="1"/>
  <c r="J114" i="2"/>
  <c r="J168" i="2"/>
  <c r="G281" i="2"/>
  <c r="G282" i="2"/>
  <c r="G287" i="2" s="1"/>
  <c r="G291" i="2" s="1"/>
  <c r="G283" i="2"/>
  <c r="G288" i="2" s="1"/>
  <c r="G292" i="2" s="1"/>
  <c r="F281" i="2"/>
  <c r="F282" i="2"/>
  <c r="F287" i="2" s="1"/>
  <c r="F291" i="2" s="1"/>
  <c r="F283" i="2"/>
  <c r="F288" i="2" s="1"/>
  <c r="F292" i="2" s="1"/>
  <c r="F278" i="2"/>
  <c r="J182" i="2"/>
  <c r="J188" i="2"/>
  <c r="J49" i="2"/>
  <c r="E47" i="2"/>
  <c r="H282" i="2"/>
  <c r="H287" i="2" s="1"/>
  <c r="H291" i="2" s="1"/>
  <c r="H283" i="2"/>
  <c r="H288" i="2" s="1"/>
  <c r="H292" i="2" s="1"/>
  <c r="H281" i="2"/>
  <c r="F293" i="2" l="1"/>
  <c r="H284" i="2"/>
  <c r="G293" i="2"/>
  <c r="H293" i="2"/>
  <c r="I282" i="2"/>
  <c r="I287" i="2" s="1"/>
  <c r="I291" i="2" s="1"/>
  <c r="I283" i="2"/>
  <c r="I288" i="2" s="1"/>
  <c r="I292" i="2" s="1"/>
  <c r="I281" i="2"/>
  <c r="I95" i="2"/>
  <c r="J95" i="2" s="1"/>
  <c r="J96" i="2" s="1"/>
  <c r="J98" i="2" s="1"/>
  <c r="E45" i="2"/>
  <c r="J357" i="2" s="1"/>
  <c r="J368" i="2"/>
  <c r="G284" i="2"/>
  <c r="J277" i="2"/>
  <c r="J278" i="2" s="1"/>
  <c r="F284" i="2"/>
  <c r="H295" i="2" l="1"/>
  <c r="H189" i="2" s="1"/>
  <c r="H190" i="2" s="1"/>
  <c r="H191" i="2" s="1"/>
  <c r="I284" i="2"/>
  <c r="G295" i="2"/>
  <c r="G189" i="2" s="1"/>
  <c r="G190" i="2" s="1"/>
  <c r="G197" i="2" s="1"/>
  <c r="F295" i="2"/>
  <c r="F189" i="2" s="1"/>
  <c r="F190" i="2" s="1"/>
  <c r="F197" i="2" s="1"/>
  <c r="I293" i="2"/>
  <c r="J283" i="2"/>
  <c r="J288" i="2" s="1"/>
  <c r="J292" i="2" s="1"/>
  <c r="J281" i="2"/>
  <c r="J282" i="2"/>
  <c r="J287" i="2" s="1"/>
  <c r="J291" i="2" s="1"/>
  <c r="F375" i="2"/>
  <c r="J360" i="2"/>
  <c r="H197" i="2" l="1"/>
  <c r="H198" i="2" s="1"/>
  <c r="H386" i="2"/>
  <c r="H388" i="2" s="1"/>
  <c r="H332" i="2"/>
  <c r="G386" i="2"/>
  <c r="G388" i="2" s="1"/>
  <c r="I295" i="2"/>
  <c r="I189" i="2" s="1"/>
  <c r="I190" i="2" s="1"/>
  <c r="I332" i="2" s="1"/>
  <c r="F191" i="2"/>
  <c r="G191" i="2"/>
  <c r="G332" i="2"/>
  <c r="F386" i="2"/>
  <c r="F388" i="2" s="1"/>
  <c r="G375" i="2"/>
  <c r="J284" i="2"/>
  <c r="F198" i="2"/>
  <c r="G198" i="2"/>
  <c r="J293" i="2"/>
  <c r="I197" i="2" l="1"/>
  <c r="I198" i="2" s="1"/>
  <c r="I191" i="2"/>
  <c r="I386" i="2"/>
  <c r="I388" i="2" s="1"/>
  <c r="J295" i="2"/>
  <c r="J189" i="2" s="1"/>
  <c r="J190" i="2" s="1"/>
  <c r="J191" i="2" s="1"/>
  <c r="H375" i="2"/>
  <c r="J197" i="2" l="1"/>
  <c r="J198" i="2" s="1"/>
  <c r="J332" i="2"/>
  <c r="J386" i="2"/>
  <c r="J388" i="2" s="1"/>
  <c r="I375" i="2"/>
  <c r="J375" i="2" l="1"/>
  <c r="F200" i="2"/>
  <c r="G200" i="2"/>
  <c r="H200" i="2"/>
  <c r="I200" i="2"/>
  <c r="J200" i="2"/>
  <c r="I201" i="2"/>
  <c r="J201" i="2"/>
  <c r="F202" i="2"/>
  <c r="G202" i="2"/>
  <c r="H202" i="2"/>
  <c r="I202" i="2"/>
  <c r="J202" i="2"/>
  <c r="F203" i="2"/>
  <c r="G203" i="2"/>
  <c r="H203" i="2"/>
  <c r="I203" i="2"/>
  <c r="J203" i="2"/>
  <c r="F204" i="2"/>
  <c r="G204" i="2"/>
  <c r="H204" i="2"/>
  <c r="I204" i="2"/>
  <c r="J204" i="2"/>
  <c r="I206" i="2"/>
  <c r="J206" i="2"/>
  <c r="G213" i="2"/>
  <c r="H213" i="2"/>
  <c r="I213" i="2"/>
  <c r="J213" i="2"/>
  <c r="I214" i="2"/>
  <c r="I215" i="2"/>
  <c r="F216" i="2"/>
  <c r="G216" i="2"/>
  <c r="H216" i="2"/>
  <c r="I216" i="2"/>
  <c r="J216" i="2"/>
  <c r="F217" i="2"/>
  <c r="G217" i="2"/>
  <c r="H217" i="2"/>
  <c r="I217" i="2"/>
  <c r="J217" i="2"/>
  <c r="F218" i="2"/>
  <c r="G218" i="2"/>
  <c r="H218" i="2"/>
  <c r="I218" i="2"/>
  <c r="J218" i="2"/>
  <c r="F219" i="2"/>
  <c r="G219" i="2"/>
  <c r="H219" i="2"/>
  <c r="I219" i="2"/>
  <c r="J219" i="2"/>
  <c r="F220" i="2"/>
  <c r="G220" i="2"/>
  <c r="H220" i="2"/>
  <c r="I220" i="2"/>
  <c r="J220" i="2"/>
  <c r="G223" i="2"/>
  <c r="H223" i="2"/>
  <c r="I223" i="2"/>
  <c r="J223" i="2"/>
  <c r="F224" i="2"/>
  <c r="G224" i="2"/>
  <c r="H224" i="2"/>
  <c r="I224" i="2"/>
  <c r="J224" i="2"/>
  <c r="F225" i="2"/>
  <c r="G225" i="2"/>
  <c r="H225" i="2"/>
  <c r="I225" i="2"/>
  <c r="J225" i="2"/>
  <c r="F303" i="2"/>
  <c r="G303" i="2"/>
  <c r="H303" i="2"/>
  <c r="I303" i="2"/>
  <c r="J303" i="2"/>
  <c r="G306" i="2"/>
  <c r="H306" i="2"/>
  <c r="I306" i="2"/>
  <c r="J306" i="2"/>
  <c r="F307" i="2"/>
  <c r="G307" i="2"/>
  <c r="H307" i="2"/>
  <c r="I307" i="2"/>
  <c r="J307" i="2"/>
  <c r="F308" i="2"/>
  <c r="G308" i="2"/>
  <c r="H308" i="2"/>
  <c r="I308" i="2"/>
  <c r="J308" i="2"/>
  <c r="G310" i="2"/>
  <c r="H310" i="2"/>
  <c r="I310" i="2"/>
  <c r="J310" i="2"/>
  <c r="F311" i="2"/>
  <c r="G311" i="2"/>
  <c r="H311" i="2"/>
  <c r="I311" i="2"/>
  <c r="J311" i="2"/>
  <c r="F313" i="2"/>
  <c r="G313" i="2"/>
  <c r="H313" i="2"/>
  <c r="I313" i="2"/>
  <c r="J313" i="2"/>
  <c r="F316" i="2"/>
  <c r="G316" i="2"/>
  <c r="H316" i="2"/>
  <c r="I316" i="2"/>
  <c r="J316" i="2"/>
  <c r="F318" i="2"/>
  <c r="G318" i="2"/>
  <c r="H318" i="2"/>
  <c r="I318" i="2"/>
  <c r="J318" i="2"/>
  <c r="F320" i="2"/>
  <c r="G320" i="2"/>
  <c r="H320" i="2"/>
  <c r="I320" i="2"/>
  <c r="J320" i="2"/>
  <c r="G323" i="2"/>
  <c r="H323" i="2"/>
  <c r="I323" i="2"/>
  <c r="J323" i="2"/>
  <c r="G324" i="2"/>
  <c r="H324" i="2"/>
  <c r="I324" i="2"/>
  <c r="J324" i="2"/>
  <c r="F325" i="2"/>
  <c r="G325" i="2"/>
  <c r="H325" i="2"/>
  <c r="I325" i="2"/>
  <c r="J325" i="2"/>
  <c r="F326" i="2"/>
  <c r="G326" i="2"/>
  <c r="H326" i="2"/>
  <c r="I326" i="2"/>
  <c r="J326" i="2"/>
  <c r="F329" i="2"/>
  <c r="G329" i="2"/>
  <c r="H329" i="2"/>
  <c r="I329" i="2"/>
  <c r="J329" i="2"/>
  <c r="G333" i="2"/>
  <c r="H333" i="2"/>
  <c r="I333" i="2"/>
  <c r="J333" i="2"/>
  <c r="G334" i="2"/>
  <c r="H334" i="2"/>
  <c r="I334" i="2"/>
  <c r="J334" i="2"/>
  <c r="H339" i="2"/>
  <c r="I339" i="2"/>
  <c r="J339" i="2"/>
  <c r="H340" i="2"/>
  <c r="I340" i="2"/>
  <c r="J340" i="2"/>
  <c r="H341" i="2"/>
  <c r="I341" i="2"/>
  <c r="J341" i="2"/>
  <c r="H342" i="2"/>
  <c r="I342" i="2"/>
  <c r="J342" i="2"/>
  <c r="J345" i="2"/>
  <c r="I346" i="2"/>
  <c r="I347" i="2"/>
  <c r="J347" i="2"/>
  <c r="I350" i="2"/>
  <c r="J350" i="2"/>
  <c r="I352" i="2"/>
  <c r="J352" i="2"/>
  <c r="F376" i="2"/>
  <c r="G376" i="2"/>
  <c r="H376" i="2"/>
  <c r="I376" i="2"/>
  <c r="J376" i="2"/>
  <c r="F377" i="2"/>
  <c r="G377" i="2"/>
  <c r="H377" i="2"/>
  <c r="I377" i="2"/>
  <c r="J377" i="2"/>
  <c r="F378" i="2"/>
  <c r="G378" i="2"/>
  <c r="H378" i="2"/>
  <c r="I378" i="2"/>
  <c r="J378" i="2"/>
  <c r="F380" i="2"/>
  <c r="G380" i="2"/>
  <c r="H380" i="2"/>
  <c r="I380" i="2"/>
  <c r="J380" i="2"/>
  <c r="F389" i="2"/>
  <c r="G389" i="2"/>
  <c r="H389" i="2"/>
  <c r="I389" i="2"/>
  <c r="J389" i="2"/>
  <c r="F390" i="2"/>
  <c r="G390" i="2"/>
  <c r="H390" i="2"/>
  <c r="I390" i="2"/>
  <c r="J390" i="2"/>
  <c r="F394" i="2"/>
  <c r="G394" i="2"/>
  <c r="H394" i="2"/>
  <c r="I394" i="2"/>
  <c r="J394" i="2"/>
  <c r="F396" i="2"/>
  <c r="G396" i="2"/>
  <c r="H396" i="2"/>
  <c r="I396" i="2"/>
  <c r="J396" i="2"/>
  <c r="E397" i="2"/>
  <c r="I397" i="2"/>
  <c r="J397" i="2"/>
  <c r="F399" i="2"/>
  <c r="G399" i="2"/>
  <c r="H399" i="2"/>
  <c r="I399" i="2"/>
  <c r="J399" i="2"/>
  <c r="F403" i="2"/>
  <c r="G404" i="2"/>
  <c r="H405" i="2"/>
  <c r="I406" i="2"/>
  <c r="J407" i="2"/>
  <c r="F409" i="2"/>
  <c r="G409" i="2"/>
  <c r="H409" i="2"/>
  <c r="I409" i="2"/>
  <c r="J409" i="2"/>
  <c r="F410" i="2"/>
  <c r="G410" i="2"/>
  <c r="H410" i="2"/>
  <c r="I410" i="2"/>
  <c r="J410" i="2"/>
  <c r="C417" i="2"/>
  <c r="C429" i="2"/>
</calcChain>
</file>

<file path=xl/sharedStrings.xml><?xml version="1.0" encoding="utf-8"?>
<sst xmlns="http://schemas.openxmlformats.org/spreadsheetml/2006/main" count="860" uniqueCount="303">
  <si>
    <t>Advanced LBO Model</t>
  </si>
  <si>
    <t>($ in millions)</t>
  </si>
  <si>
    <t>Step 1. Model Assumptions</t>
  </si>
  <si>
    <t>Entry Valuation</t>
  </si>
  <si>
    <t>Treasury Stock Method</t>
  </si>
  <si>
    <t>Normalized Share Price</t>
  </si>
  <si>
    <t>Common Shares Outstanding</t>
  </si>
  <si>
    <t>Offer Price Per Share</t>
  </si>
  <si>
    <t>Plus: Net Dilution</t>
  </si>
  <si>
    <t>% Premium Paid</t>
  </si>
  <si>
    <t>Fully Diluted Share Count</t>
  </si>
  <si>
    <t>Entry Equity Value</t>
  </si>
  <si>
    <t>Options</t>
  </si>
  <si>
    <t>Shares</t>
  </si>
  <si>
    <t>Strike ($)</t>
  </si>
  <si>
    <t>TSM</t>
  </si>
  <si>
    <t>Plus: Net Debt</t>
  </si>
  <si>
    <t>Entry Enterprise Value</t>
  </si>
  <si>
    <t>LTM EBITDA</t>
  </si>
  <si>
    <t>Implied Entry Multiple</t>
  </si>
  <si>
    <t>Net Dilution</t>
  </si>
  <si>
    <t>Transaction Assumptions</t>
  </si>
  <si>
    <t>Financing Assumptions</t>
  </si>
  <si>
    <t>Transaction Fee %</t>
  </si>
  <si>
    <t>Maximum Revolver Capacity</t>
  </si>
  <si>
    <t>Cash to B/S</t>
  </si>
  <si>
    <t>Unused Revolver Commitment Fee</t>
  </si>
  <si>
    <t>WSPCP Investment Amount</t>
  </si>
  <si>
    <t>Financing Fees Amortization Period</t>
  </si>
  <si>
    <t>WSPCP Monitoring Fee</t>
  </si>
  <si>
    <t>Financing Fee %</t>
  </si>
  <si>
    <t>Tax Rate</t>
  </si>
  <si>
    <t>Circuit Breaker</t>
  </si>
  <si>
    <t>Debt Assumptions</t>
  </si>
  <si>
    <t>Tranche</t>
  </si>
  <si>
    <t>x EBITDA</t>
  </si>
  <si>
    <t>Rate</t>
  </si>
  <si>
    <t>Floor</t>
  </si>
  <si>
    <t>% Amort.</t>
  </si>
  <si>
    <t>OID</t>
  </si>
  <si>
    <t>OID ($)</t>
  </si>
  <si>
    <t>Total Fees</t>
  </si>
  <si>
    <t>Revolver</t>
  </si>
  <si>
    <t>Unitranche Term Loan</t>
  </si>
  <si>
    <t>Recap Bonds</t>
  </si>
  <si>
    <t>Total Debt</t>
  </si>
  <si>
    <t>Dividend Recap Assumptions</t>
  </si>
  <si>
    <t>Add-On Assumptions</t>
  </si>
  <si>
    <t>Dividend Recap Toggle ("1" = Yes)</t>
  </si>
  <si>
    <t>Add-On Toggle ("1" = Yes)</t>
  </si>
  <si>
    <t>Maximum Leverage Multiple</t>
  </si>
  <si>
    <t>LTM EBITDA Acquisition Multiple</t>
  </si>
  <si>
    <t>Minimum Interest Coverage Ratio</t>
  </si>
  <si>
    <t>Add-On Year</t>
  </si>
  <si>
    <t>Dividend Recap Year</t>
  </si>
  <si>
    <t>Step 2. Sources &amp; Uses Table</t>
  </si>
  <si>
    <t>Sources &amp; Uses</t>
  </si>
  <si>
    <t>Sources</t>
  </si>
  <si>
    <t>Amount</t>
  </si>
  <si>
    <t>Uses</t>
  </si>
  <si>
    <t>Purchase Equity Value</t>
  </si>
  <si>
    <t>Refinancing of Net Debt</t>
  </si>
  <si>
    <t>Lead Sponsor Equity</t>
  </si>
  <si>
    <t>Transaction Fees</t>
  </si>
  <si>
    <t>WSPCP Preferred Equity</t>
  </si>
  <si>
    <t>Financing Fees</t>
  </si>
  <si>
    <t>Total Equity</t>
  </si>
  <si>
    <t>Total Uses</t>
  </si>
  <si>
    <t>Total Sources</t>
  </si>
  <si>
    <t>Check</t>
  </si>
  <si>
    <t>Step 3. Purchase Price Allocation</t>
  </si>
  <si>
    <t>Purchase Price Allocation</t>
  </si>
  <si>
    <t>Intangible Assets Write-Up</t>
  </si>
  <si>
    <t>Intangible Assets Allocation %</t>
  </si>
  <si>
    <t>Less: Book Value of Equity</t>
  </si>
  <si>
    <t>Useful Life Assumption</t>
  </si>
  <si>
    <t>Plus: Existing Goodwill</t>
  </si>
  <si>
    <t>Incremental Annual Amortization</t>
  </si>
  <si>
    <t>Allocable Purchase Premium</t>
  </si>
  <si>
    <t>Deferred Tax Liability Created</t>
  </si>
  <si>
    <t>Less: Intangible Assets Write-Up</t>
  </si>
  <si>
    <t>Annual Unwind of DTL</t>
  </si>
  <si>
    <t>Less: PP&amp;E Write-Up</t>
  </si>
  <si>
    <t>Plus: Deferred Tax Liability</t>
  </si>
  <si>
    <t>PP&amp;E Write-Up</t>
  </si>
  <si>
    <t>Pro-Forma Goodwill</t>
  </si>
  <si>
    <t>PP&amp;E Write-Up %</t>
  </si>
  <si>
    <t>Incremental Annual Depreciation</t>
  </si>
  <si>
    <t>Step 4. Closing B/S Adjustments</t>
  </si>
  <si>
    <t>Closing Balance Sheet</t>
  </si>
  <si>
    <t>Adjustments</t>
  </si>
  <si>
    <t xml:space="preserve">Debits </t>
  </si>
  <si>
    <t>Credits</t>
  </si>
  <si>
    <t>Cash</t>
  </si>
  <si>
    <t>Accounts Receivable</t>
  </si>
  <si>
    <t>Inventory</t>
  </si>
  <si>
    <t>Prepaid Expenses</t>
  </si>
  <si>
    <t>Total Current Assets</t>
  </si>
  <si>
    <t>PP&amp;E</t>
  </si>
  <si>
    <t>Goodwill</t>
  </si>
  <si>
    <t>Intangible Assets</t>
  </si>
  <si>
    <t>Total Assets</t>
  </si>
  <si>
    <t>Accounts Payable</t>
  </si>
  <si>
    <t>Accrued Liabilities</t>
  </si>
  <si>
    <t>Deferred Revenue</t>
  </si>
  <si>
    <t>Total Current Liabilities</t>
  </si>
  <si>
    <t>Pre-LBO Debt</t>
  </si>
  <si>
    <t>Capitalized Financing Fees</t>
  </si>
  <si>
    <t>Deferred Tax Liability</t>
  </si>
  <si>
    <t>Total Liabilities</t>
  </si>
  <si>
    <t>Shareholders' Equity</t>
  </si>
  <si>
    <t>Total Liabilities + Equity</t>
  </si>
  <si>
    <t>Balance Check</t>
  </si>
  <si>
    <t>Step 5. Add-On Forecast</t>
  </si>
  <si>
    <t>TeaCo Forecast Build</t>
  </si>
  <si>
    <t>Revenue</t>
  </si>
  <si>
    <t>YoY % Growth</t>
  </si>
  <si>
    <t>Less: COGS</t>
  </si>
  <si>
    <t>Gross Profit</t>
  </si>
  <si>
    <t>Gross Margin %</t>
  </si>
  <si>
    <t>Less: SG&amp;A</t>
  </si>
  <si>
    <t>Less: R&amp;D</t>
  </si>
  <si>
    <t>EBITDA</t>
  </si>
  <si>
    <t>EBITDA Margin %</t>
  </si>
  <si>
    <t>Case Toggle</t>
  </si>
  <si>
    <t>Selected Case</t>
  </si>
  <si>
    <t>Driver Assumptions</t>
  </si>
  <si>
    <t>TeaCo Store Count (0s)</t>
  </si>
  <si>
    <t># of New Store Openings</t>
  </si>
  <si>
    <t>Average Revenue Per Store (mm)</t>
  </si>
  <si>
    <t>Annual # of Orders Per Store (000s)</t>
  </si>
  <si>
    <t>Δ in Annual Orders Per Store</t>
  </si>
  <si>
    <t>Average Order Price (0s)</t>
  </si>
  <si>
    <t>Δ in Average Order Price</t>
  </si>
  <si>
    <t>Base Case</t>
  </si>
  <si>
    <t>Upside Case</t>
  </si>
  <si>
    <t>Downside Case</t>
  </si>
  <si>
    <t>Δ in Average # of Annual Orders Per Store</t>
  </si>
  <si>
    <t>SG&amp;A % of Revenue</t>
  </si>
  <si>
    <t>R&amp;D % of Revenue</t>
  </si>
  <si>
    <t>TeaCo Acquisition Schedule</t>
  </si>
  <si>
    <t>TeaCo Acquired?</t>
  </si>
  <si>
    <t>Purchase Multiple</t>
  </si>
  <si>
    <t>Implied Acquisition Value</t>
  </si>
  <si>
    <t>Step 6. Pro Forma Financial Forecast</t>
  </si>
  <si>
    <t>Pro Forma Financial Forecast</t>
  </si>
  <si>
    <t>JoeCo Revenue</t>
  </si>
  <si>
    <t>Plus: TeaCo Revenue</t>
  </si>
  <si>
    <t>Total Revenue</t>
  </si>
  <si>
    <t>Pro Forma YoY % Growth</t>
  </si>
  <si>
    <t>Less: JoeCo COGS</t>
  </si>
  <si>
    <t>Less: TeaCo COGS</t>
  </si>
  <si>
    <t>Pro Forma Gross Margin %</t>
  </si>
  <si>
    <t>Less: JoeCo SG&amp;A</t>
  </si>
  <si>
    <t>Less: TeaCo SG&amp;A</t>
  </si>
  <si>
    <t>Less: JoeCo R&amp;D</t>
  </si>
  <si>
    <t>Less: TeaCo R&amp;D</t>
  </si>
  <si>
    <t>Less: Management Earn-Out</t>
  </si>
  <si>
    <t>Pro Forma EBITDA</t>
  </si>
  <si>
    <t>Pro Forma EBITDA Margin %</t>
  </si>
  <si>
    <t>Less: D&amp;A</t>
  </si>
  <si>
    <t>Less: Intangible Assets Write-Up Amortization</t>
  </si>
  <si>
    <t>Plus: PP&amp;E Write-Up Depreciation</t>
  </si>
  <si>
    <t>Less: WSPCP Monitoring Fees</t>
  </si>
  <si>
    <t>EBIT</t>
  </si>
  <si>
    <t>Pro Forma Operating Margin %</t>
  </si>
  <si>
    <t>Less: Interest Expense</t>
  </si>
  <si>
    <t>Less: Amortization of Financing Fees &amp; OID</t>
  </si>
  <si>
    <t>EBT</t>
  </si>
  <si>
    <t>Less: Taxes</t>
  </si>
  <si>
    <t>Net Income</t>
  </si>
  <si>
    <t>Plus: D&amp;A</t>
  </si>
  <si>
    <t>Plus: Amortization of Financing Fees &amp; OID</t>
  </si>
  <si>
    <t>Plus: Intangible Assets Write-Up Amortization</t>
  </si>
  <si>
    <t>Less: Deferred Tax Liability Unwind</t>
  </si>
  <si>
    <t>Less: Δ in NWC</t>
  </si>
  <si>
    <t>Less: Capex</t>
  </si>
  <si>
    <t>Less: TeaCo Acquisition</t>
  </si>
  <si>
    <t>Less: Mandatory Amortization</t>
  </si>
  <si>
    <t>Plus: Recap Bonds Draw</t>
  </si>
  <si>
    <t>Less: Recap Dividend Issuance</t>
  </si>
  <si>
    <t>Free Cash Flow (Pre-Revolver)</t>
  </si>
  <si>
    <t>Revolver Drawdown / (Paydown)</t>
  </si>
  <si>
    <t>Free Cash Flow (Optional Paydown)</t>
  </si>
  <si>
    <t>Less: Cash Sweep</t>
  </si>
  <si>
    <t>Cash Flow After Financing Activities</t>
  </si>
  <si>
    <t>Cash Roll-Forward</t>
  </si>
  <si>
    <t>Beginning Cash Balance</t>
  </si>
  <si>
    <t>Net Change in Cash Flow</t>
  </si>
  <si>
    <t>Ending Cash Balance</t>
  </si>
  <si>
    <t>JoeCo Standalone Operating Assumptions</t>
  </si>
  <si>
    <t>Revenue Growth %</t>
  </si>
  <si>
    <t>D&amp;A % of Revenue</t>
  </si>
  <si>
    <t>Capex % of Revenue</t>
  </si>
  <si>
    <t>Δ in NWC % of Revenue</t>
  </si>
  <si>
    <t>Step 7. Management Contingency Payments</t>
  </si>
  <si>
    <t>Management Contingency Payments</t>
  </si>
  <si>
    <t>Performance Targets</t>
  </si>
  <si>
    <t>EBITDA Targets</t>
  </si>
  <si>
    <t>Minimum EBITDA</t>
  </si>
  <si>
    <t>Min.</t>
  </si>
  <si>
    <t>Midpoint EBITDA</t>
  </si>
  <si>
    <t>Mid.</t>
  </si>
  <si>
    <t>Outperformance EBITDA</t>
  </si>
  <si>
    <t>Out.</t>
  </si>
  <si>
    <t>Maximum Earn-Out Amount</t>
  </si>
  <si>
    <t>LTM Actual EBITDA</t>
  </si>
  <si>
    <t>Management Earn-Outs</t>
  </si>
  <si>
    <t>Total Compensation Earn-Outs</t>
  </si>
  <si>
    <t>Excess EBITDA Amount</t>
  </si>
  <si>
    <t>Excess Over Minimum</t>
  </si>
  <si>
    <t>Excess Over Midpoint</t>
  </si>
  <si>
    <t>Pro-Rata Adjustments</t>
  </si>
  <si>
    <t>Total Bonuses Paid</t>
  </si>
  <si>
    <t>Step 8. Debt Schedule</t>
  </si>
  <si>
    <t>Debt Schedule</t>
  </si>
  <si>
    <t>LIBOR (bps)</t>
  </si>
  <si>
    <t>Excess Cash Available for Revolver</t>
  </si>
  <si>
    <t>Beginning Balance</t>
  </si>
  <si>
    <t>Ending Balance</t>
  </si>
  <si>
    <t>Beginning Available Capacity</t>
  </si>
  <si>
    <t>Ending Available Capacity</t>
  </si>
  <si>
    <t>Revolver Compliance Check</t>
  </si>
  <si>
    <t>Revolver Interest Rate</t>
  </si>
  <si>
    <t>Revolver Interest Expense</t>
  </si>
  <si>
    <t>Unused Commitment Fee</t>
  </si>
  <si>
    <t>Excess Cash Available for Unitranche Term Loan</t>
  </si>
  <si>
    <t>Unitranche Term Loan Interest Rate</t>
  </si>
  <si>
    <t>Unitranche Term Loan Interest Expense</t>
  </si>
  <si>
    <t>Dividend Recap Bonds Capacity</t>
  </si>
  <si>
    <t>Maximum Recap Bonds Capacity</t>
  </si>
  <si>
    <t>Less: Total Outstanding Debt</t>
  </si>
  <si>
    <t>Available Recap Bonds Capacity</t>
  </si>
  <si>
    <t>Dividend Recap Completed?</t>
  </si>
  <si>
    <t>Maintenance Covenant Test</t>
  </si>
  <si>
    <t>Total Debt / EBITDA</t>
  </si>
  <si>
    <t>Leverage Multiple Compliance Check</t>
  </si>
  <si>
    <t>EBITDA / Interest</t>
  </si>
  <si>
    <t>Interest Coverage Compliance Check</t>
  </si>
  <si>
    <t>Dividend Recap Bonds</t>
  </si>
  <si>
    <t>Plus: Dividend Recap</t>
  </si>
  <si>
    <t>Recap Bonds Interest Rate</t>
  </si>
  <si>
    <t>Recap Bonds Interest Expense</t>
  </si>
  <si>
    <t>Recap Bonds Financing Fees Amortization</t>
  </si>
  <si>
    <t>Step 9. Capitalization Table</t>
  </si>
  <si>
    <t>Equity Ownership Structure</t>
  </si>
  <si>
    <t>Initial Common Shares Outstanding</t>
  </si>
  <si>
    <t>Pre-Dilution</t>
  </si>
  <si>
    <t>% Ownership</t>
  </si>
  <si>
    <t>Lead Sponsor Common Shares</t>
  </si>
  <si>
    <t>Sponsors Equity</t>
  </si>
  <si>
    <t xml:space="preserve">WSPCP Converted Preferred Shares </t>
  </si>
  <si>
    <t>Rollover Equity</t>
  </si>
  <si>
    <t>Management Options</t>
  </si>
  <si>
    <t>Total Common Share Count</t>
  </si>
  <si>
    <t>Management Option Pool</t>
  </si>
  <si>
    <t>Post-Dilution</t>
  </si>
  <si>
    <t>Investment Assumptions</t>
  </si>
  <si>
    <t>Post-Closing Share Price</t>
  </si>
  <si>
    <t>Preferred Equity PIK Rate</t>
  </si>
  <si>
    <t>WSPCP Initial Investment</t>
  </si>
  <si>
    <t>Preferred Convertible Shares</t>
  </si>
  <si>
    <t>WSPCP Preferred Investment % of Initial Equity</t>
  </si>
  <si>
    <t>Convertible Equity Strike Price</t>
  </si>
  <si>
    <t>Management Pool Amount</t>
  </si>
  <si>
    <t>Management Strike Price</t>
  </si>
  <si>
    <t>Management Exercisable Shares</t>
  </si>
  <si>
    <t>Management Exercised Shares</t>
  </si>
  <si>
    <t>Total Common Shares Outstanding</t>
  </si>
  <si>
    <t>Implied Share Price</t>
  </si>
  <si>
    <t>Step 10. Returns Calculation</t>
  </si>
  <si>
    <t>Exit Valuation</t>
  </si>
  <si>
    <t>Exit LTM EBITDA</t>
  </si>
  <si>
    <t>Exit Multiple Assumption</t>
  </si>
  <si>
    <t>Exit Enterprise Value</t>
  </si>
  <si>
    <t>Less: Net Debt</t>
  </si>
  <si>
    <t>Exit Equity Value</t>
  </si>
  <si>
    <t>WSPCP Investment Returns Profile</t>
  </si>
  <si>
    <t>Option 1: Accrued Preferred Equity Value</t>
  </si>
  <si>
    <t>Option 2: Convertible Preferred Equity Value</t>
  </si>
  <si>
    <t>Exit Proceeds to WSPCP</t>
  </si>
  <si>
    <t>Recap Year:</t>
  </si>
  <si>
    <t>Plus: Recap Dividend to WSPCP</t>
  </si>
  <si>
    <t>Amount:</t>
  </si>
  <si>
    <t>Plus: WSPCP Monitoring Fees</t>
  </si>
  <si>
    <t>Total Proceeds to WSPCP</t>
  </si>
  <si>
    <t>Cash (Outflows) / Inflows</t>
  </si>
  <si>
    <t>IRR</t>
  </si>
  <si>
    <t>MOIC</t>
  </si>
  <si>
    <t>Sensitivity Tables – Assuming Year 5 Exit</t>
  </si>
  <si>
    <t>Internal Rate of Return (IRR)</t>
  </si>
  <si>
    <t>Exit Multiple</t>
  </si>
  <si>
    <t>Offer Price</t>
  </si>
  <si>
    <t>Per Share</t>
  </si>
  <si>
    <t>Multiple on Invested Capital (MOIC)</t>
  </si>
  <si>
    <t>JoeCo Balance Sheet</t>
  </si>
  <si>
    <t>TeaCo Financials</t>
  </si>
  <si>
    <t>N/A</t>
  </si>
  <si>
    <t>TeaCo Driver Assumptions</t>
  </si>
  <si>
    <t>JoeCo Driver Assumptions</t>
  </si>
  <si>
    <t>JoeCo Financials</t>
  </si>
  <si>
    <t>JoeCo / TeaCo Financials</t>
  </si>
  <si>
    <t>TeaCo Store / Order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</si>
</sst>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164" formatCode="&quot;$&quot;#,##0.00_);\(&quot;$&quot;#,##0.00\)_);\-\-_)"/>
    <numFmt numFmtId="165" formatCode="#,##0_);\(#,##0\);\-\-_)"/>
    <numFmt numFmtId="166" formatCode="0.0%_);\(0.0%\);\-\-_)"/>
    <numFmt numFmtId="167" formatCode="&quot;$&quot;#,##0_);\(&quot;$&quot;#,##0\);&quot;-  &quot;"/>
    <numFmt numFmtId="168" formatCode="&quot;$&quot;#,##0_);\(&quot;$&quot;#,##0\);\-\-_)"/>
    <numFmt numFmtId="169" formatCode="&quot;Tranche&quot;\ 0"/>
    <numFmt numFmtId="170" formatCode="#,##0.0_);\(#,##0.0\);\-\-_)"/>
    <numFmt numFmtId="171" formatCode="#,##0.0\x_);\(#,##0.0\x\);\-\-_)"/>
    <numFmt numFmtId="172" formatCode="0.00%_);\(0.00%\);\-\-_)"/>
    <numFmt numFmtId="173" formatCode="0\ &quot;Years&quot;\ "/>
    <numFmt numFmtId="174" formatCode="0\ "/>
    <numFmt numFmtId="175" formatCode="&quot;$&quot;#,##0_);\(&quot;$&quot;#,##0\)\ ;&quot;-  &quot;"/>
    <numFmt numFmtId="176" formatCode="0.0\x_);\(0.0\x\);&quot;--&quot;_)"/>
    <numFmt numFmtId="177" formatCode="&quot;L +&quot;\ 0\ "/>
    <numFmt numFmtId="178" formatCode="&quot;Yes&quot;_);&quot;Yes&quot;_);&quot;No&quot;_)"/>
    <numFmt numFmtId="179" formatCode="0.0\x\ "/>
    <numFmt numFmtId="180" formatCode="0_)"/>
    <numFmt numFmtId="181" formatCode="#,##0.0%_);\(#,##0.0%\);&quot;--&quot;_%_);@_%_)"/>
    <numFmt numFmtId="182" formatCode="0\ &quot;Years&quot;_)"/>
    <numFmt numFmtId="183" formatCode="0\ &quot;Years&quot;"/>
    <numFmt numFmtId="184" formatCode="0&quot;A&quot;_)"/>
    <numFmt numFmtId="185" formatCode="0&quot;PF&quot;_)"/>
    <numFmt numFmtId="186" formatCode="&quot;$&quot;#,##0_);\(&quot;$&quot;#,##0\);&quot;--&quot;_);@_)"/>
    <numFmt numFmtId="187" formatCode="0&quot;E&quot;_)"/>
    <numFmt numFmtId="188" formatCode="#,##0.00_);\(#,##0.00\);\-\-_)"/>
    <numFmt numFmtId="189" formatCode="&quot;$&quot;#,##0.00_);\(&quot;$&quot;#,##0.00\);\-\-_)"/>
    <numFmt numFmtId="190" formatCode="&quot;Yes&quot;_);;&quot;No&quot;_)"/>
    <numFmt numFmtId="191" formatCode="&quot;Compliant&quot;_);&quot;Compliant&quot;_);&quot;Breached&quot;_)"/>
    <numFmt numFmtId="192" formatCode="#,##0_);\(#,##0\);&quot;-  &quot;"/>
    <numFmt numFmtId="193" formatCode="#,##0_);\(#,##0\)\ ;&quot;-  &quot;"/>
    <numFmt numFmtId="194" formatCode="0&quot;E&quot;"/>
    <numFmt numFmtId="195" formatCode="&quot;$&quot;#,##0.0_);\(&quot;$&quot;#,##0.0\);\-\-_)"/>
    <numFmt numFmtId="196" formatCode="&quot;$&quot;#,##0_);\(&quot;$&quot;#,##0\)_);\-\-_)"/>
    <numFmt numFmtId="197" formatCode="0.0%;\(0.0%\);&quot;-  &quot;"/>
    <numFmt numFmtId="198" formatCode="#,##0_);\(#,##0\);&quot;--&quot;_);@_)"/>
    <numFmt numFmtId="199" formatCode="&quot;Compliant&quot;_);&quot;Compliant&quot;_);&quot;Overdrawn&quot;_);"/>
    <numFmt numFmtId="200" formatCode="&quot;$&quot;#,##0_);\(&quot;$&quot;#,##0\);\-_)"/>
    <numFmt numFmtId="201" formatCode="&quot;Compliant&quot;_);&quot;Compliant&quot;_);&quot;Breached&quot;_);"/>
    <numFmt numFmtId="202" formatCode="&quot;$&quot;#,##0.000000_);\(&quot;$&quot;#,##0.000000\);\-_)"/>
    <numFmt numFmtId="203" formatCode="&quot;Accrued&quot;_);;&quot;Convertible&quot;_)"/>
    <numFmt numFmtId="204" formatCode="m/d/yy;@"/>
    <numFmt numFmtId="205" formatCode="&quot;Exit Year&quot;\ 0"/>
    <numFmt numFmtId="206" formatCode="0.0%"/>
    <numFmt numFmtId="207" formatCode="0.0%;\(0.0%\)"/>
    <numFmt numFmtId="208" formatCode="0.0\x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FF"/>
      <name val="Arial"/>
      <family val="2"/>
    </font>
    <font>
      <b/>
      <i/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E9F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1">
    <xf numFmtId="0" fontId="0" fillId="0" borderId="0" xfId="0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2" borderId="2" xfId="0" applyFont="1" applyFill="1" applyBorder="1"/>
    <xf numFmtId="164" fontId="6" fillId="0" borderId="0" xfId="0" applyNumberFormat="1" applyFont="1"/>
    <xf numFmtId="165" fontId="6" fillId="3" borderId="0" xfId="0" applyNumberFormat="1" applyFont="1" applyFill="1"/>
    <xf numFmtId="164" fontId="7" fillId="0" borderId="0" xfId="0" applyNumberFormat="1" applyFont="1"/>
    <xf numFmtId="0" fontId="0" fillId="0" borderId="2" xfId="0" applyBorder="1"/>
    <xf numFmtId="165" fontId="7" fillId="3" borderId="2" xfId="0" applyNumberFormat="1" applyFont="1" applyFill="1" applyBorder="1"/>
    <xf numFmtId="0" fontId="4" fillId="0" borderId="0" xfId="0" applyFont="1" applyAlignment="1">
      <alignment horizontal="left" indent="1"/>
    </xf>
    <xf numFmtId="166" fontId="8" fillId="3" borderId="0" xfId="0" applyNumberFormat="1" applyFont="1" applyFill="1"/>
    <xf numFmtId="0" fontId="2" fillId="0" borderId="0" xfId="0" applyFont="1"/>
    <xf numFmtId="165" fontId="5" fillId="0" borderId="0" xfId="0" applyNumberFormat="1" applyFont="1"/>
    <xf numFmtId="167" fontId="2" fillId="0" borderId="0" xfId="0" applyNumberFormat="1" applyFont="1"/>
    <xf numFmtId="168" fontId="5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9" fontId="0" fillId="0" borderId="0" xfId="0" applyNumberFormat="1" applyAlignment="1">
      <alignment horizontal="left"/>
    </xf>
    <xf numFmtId="170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170" fontId="0" fillId="0" borderId="0" xfId="0" applyNumberFormat="1" applyAlignment="1">
      <alignment horizontal="right"/>
    </xf>
    <xf numFmtId="169" fontId="0" fillId="0" borderId="2" xfId="0" applyNumberFormat="1" applyBorder="1" applyAlignment="1">
      <alignment horizontal="left"/>
    </xf>
    <xf numFmtId="170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70" fontId="0" fillId="0" borderId="2" xfId="0" applyNumberFormat="1" applyBorder="1" applyAlignment="1">
      <alignment horizontal="right"/>
    </xf>
    <xf numFmtId="171" fontId="5" fillId="0" borderId="0" xfId="0" applyNumberFormat="1" applyFont="1"/>
    <xf numFmtId="0" fontId="2" fillId="0" borderId="0" xfId="0" applyFont="1" applyAlignment="1">
      <alignment horizontal="right"/>
    </xf>
    <xf numFmtId="170" fontId="5" fillId="0" borderId="0" xfId="0" applyNumberFormat="1" applyFont="1" applyAlignment="1">
      <alignment horizontal="right"/>
    </xf>
    <xf numFmtId="166" fontId="6" fillId="3" borderId="0" xfId="0" applyNumberFormat="1" applyFont="1" applyFill="1"/>
    <xf numFmtId="168" fontId="6" fillId="3" borderId="0" xfId="0" applyNumberFormat="1" applyFont="1" applyFill="1"/>
    <xf numFmtId="172" fontId="6" fillId="0" borderId="0" xfId="0" applyNumberFormat="1" applyFont="1"/>
    <xf numFmtId="173" fontId="6" fillId="0" borderId="0" xfId="0" applyNumberFormat="1" applyFont="1"/>
    <xf numFmtId="166" fontId="6" fillId="0" borderId="0" xfId="0" applyNumberFormat="1" applyFont="1"/>
    <xf numFmtId="37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175" fontId="2" fillId="0" borderId="1" xfId="0" applyNumberFormat="1" applyFont="1" applyBorder="1" applyAlignment="1">
      <alignment horizontal="right"/>
    </xf>
    <xf numFmtId="176" fontId="6" fillId="0" borderId="0" xfId="0" applyNumberFormat="1" applyFont="1"/>
    <xf numFmtId="177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7" fillId="0" borderId="0" xfId="0" applyNumberFormat="1" applyFont="1"/>
    <xf numFmtId="168" fontId="0" fillId="0" borderId="0" xfId="0" applyNumberFormat="1"/>
    <xf numFmtId="165" fontId="6" fillId="0" borderId="0" xfId="0" applyNumberFormat="1" applyFont="1"/>
    <xf numFmtId="165" fontId="0" fillId="0" borderId="0" xfId="0" applyNumberFormat="1"/>
    <xf numFmtId="176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76" fontId="2" fillId="0" borderId="0" xfId="0" applyNumberFormat="1" applyFont="1" applyAlignment="1">
      <alignment horizontal="right"/>
    </xf>
    <xf numFmtId="178" fontId="6" fillId="0" borderId="0" xfId="0" applyNumberFormat="1" applyFont="1"/>
    <xf numFmtId="179" fontId="7" fillId="0" borderId="0" xfId="0" applyNumberFormat="1" applyFont="1"/>
    <xf numFmtId="171" fontId="6" fillId="0" borderId="0" xfId="0" applyNumberFormat="1" applyFont="1"/>
    <xf numFmtId="179" fontId="6" fillId="0" borderId="0" xfId="0" applyNumberFormat="1" applyFont="1"/>
    <xf numFmtId="180" fontId="6" fillId="0" borderId="0" xfId="0" applyNumberFormat="1" applyFont="1" applyAlignment="1">
      <alignment horizontal="right"/>
    </xf>
    <xf numFmtId="0" fontId="7" fillId="2" borderId="2" xfId="0" applyFont="1" applyFill="1" applyBorder="1"/>
    <xf numFmtId="0" fontId="2" fillId="0" borderId="1" xfId="0" applyFont="1" applyBorder="1" applyAlignment="1">
      <alignment horizontal="left"/>
    </xf>
    <xf numFmtId="168" fontId="7" fillId="0" borderId="0" xfId="0" applyNumberFormat="1" applyFont="1"/>
    <xf numFmtId="165" fontId="7" fillId="0" borderId="2" xfId="0" applyNumberFormat="1" applyFont="1" applyBorder="1"/>
    <xf numFmtId="168" fontId="2" fillId="0" borderId="0" xfId="0" applyNumberFormat="1" applyFont="1"/>
    <xf numFmtId="165" fontId="9" fillId="0" borderId="0" xfId="0" applyNumberFormat="1" applyFont="1"/>
    <xf numFmtId="167" fontId="0" fillId="0" borderId="0" xfId="0" applyNumberFormat="1"/>
    <xf numFmtId="181" fontId="6" fillId="0" borderId="0" xfId="1" applyNumberFormat="1" applyFont="1" applyBorder="1"/>
    <xf numFmtId="182" fontId="6" fillId="0" borderId="0" xfId="0" applyNumberFormat="1" applyFont="1"/>
    <xf numFmtId="167" fontId="0" fillId="0" borderId="2" xfId="0" applyNumberFormat="1" applyBorder="1"/>
    <xf numFmtId="166" fontId="6" fillId="0" borderId="0" xfId="1" applyNumberFormat="1" applyFont="1" applyBorder="1"/>
    <xf numFmtId="183" fontId="6" fillId="0" borderId="0" xfId="0" applyNumberFormat="1" applyFont="1"/>
    <xf numFmtId="167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84" fontId="5" fillId="2" borderId="2" xfId="0" applyNumberFormat="1" applyFont="1" applyFill="1" applyBorder="1"/>
    <xf numFmtId="0" fontId="5" fillId="2" borderId="2" xfId="0" applyFont="1" applyFill="1" applyBorder="1" applyAlignment="1">
      <alignment horizontal="centerContinuous"/>
    </xf>
    <xf numFmtId="185" fontId="5" fillId="2" borderId="2" xfId="0" applyNumberFormat="1" applyFont="1" applyFill="1" applyBorder="1"/>
    <xf numFmtId="0" fontId="2" fillId="4" borderId="3" xfId="0" applyFont="1" applyFill="1" applyBorder="1" applyAlignment="1">
      <alignment horizontal="center"/>
    </xf>
    <xf numFmtId="186" fontId="2" fillId="4" borderId="4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86" fontId="10" fillId="0" borderId="6" xfId="0" applyNumberFormat="1" applyFont="1" applyBorder="1" applyAlignment="1">
      <alignment horizontal="center"/>
    </xf>
    <xf numFmtId="168" fontId="6" fillId="0" borderId="0" xfId="0" applyNumberFormat="1" applyFont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0" fillId="0" borderId="5" xfId="0" applyNumberFormat="1" applyBorder="1"/>
    <xf numFmtId="165" fontId="0" fillId="0" borderId="6" xfId="0" applyNumberFormat="1" applyBorder="1"/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87" fontId="5" fillId="2" borderId="2" xfId="0" applyNumberFormat="1" applyFont="1" applyFill="1" applyBorder="1"/>
    <xf numFmtId="168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5" fontId="0" fillId="0" borderId="2" xfId="0" applyNumberFormat="1" applyBorder="1"/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/>
    <xf numFmtId="0" fontId="0" fillId="4" borderId="0" xfId="0" applyFill="1"/>
    <xf numFmtId="168" fontId="11" fillId="4" borderId="0" xfId="0" applyNumberFormat="1" applyFont="1" applyFill="1"/>
    <xf numFmtId="168" fontId="2" fillId="4" borderId="0" xfId="0" applyNumberFormat="1" applyFont="1" applyFill="1"/>
    <xf numFmtId="0" fontId="10" fillId="0" borderId="0" xfId="0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4" fontId="0" fillId="0" borderId="0" xfId="0" applyNumberFormat="1"/>
    <xf numFmtId="166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/>
    </xf>
    <xf numFmtId="188" fontId="0" fillId="0" borderId="0" xfId="0" applyNumberFormat="1"/>
    <xf numFmtId="189" fontId="4" fillId="0" borderId="0" xfId="0" applyNumberFormat="1" applyFont="1" applyAlignment="1">
      <alignment horizontal="right"/>
    </xf>
    <xf numFmtId="0" fontId="0" fillId="0" borderId="3" xfId="0" applyBorder="1"/>
    <xf numFmtId="0" fontId="0" fillId="0" borderId="1" xfId="0" applyBorder="1"/>
    <xf numFmtId="166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165" fontId="8" fillId="0" borderId="0" xfId="0" applyNumberFormat="1" applyFont="1"/>
    <xf numFmtId="166" fontId="7" fillId="0" borderId="0" xfId="0" applyNumberFormat="1" applyFont="1" applyAlignment="1">
      <alignment horizontal="right"/>
    </xf>
    <xf numFmtId="189" fontId="9" fillId="0" borderId="1" xfId="0" applyNumberFormat="1" applyFont="1" applyBorder="1" applyAlignment="1">
      <alignment horizontal="right"/>
    </xf>
    <xf numFmtId="189" fontId="9" fillId="0" borderId="9" xfId="0" applyNumberFormat="1" applyFont="1" applyBorder="1" applyAlignment="1">
      <alignment horizontal="right"/>
    </xf>
    <xf numFmtId="189" fontId="8" fillId="0" borderId="0" xfId="0" applyNumberFormat="1" applyFont="1"/>
    <xf numFmtId="166" fontId="4" fillId="0" borderId="1" xfId="1" applyNumberFormat="1" applyFont="1" applyFill="1" applyBorder="1"/>
    <xf numFmtId="166" fontId="9" fillId="0" borderId="9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90" fontId="0" fillId="0" borderId="4" xfId="0" applyNumberFormat="1" applyBorder="1" applyAlignment="1">
      <alignment horizontal="center"/>
    </xf>
    <xf numFmtId="190" fontId="0" fillId="0" borderId="0" xfId="0" applyNumberFormat="1" applyAlignment="1">
      <alignment horizontal="right"/>
    </xf>
    <xf numFmtId="171" fontId="0" fillId="0" borderId="0" xfId="0" applyNumberFormat="1"/>
    <xf numFmtId="191" fontId="7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Continuous"/>
    </xf>
    <xf numFmtId="166" fontId="9" fillId="0" borderId="0" xfId="0" applyNumberFormat="1" applyFont="1"/>
    <xf numFmtId="0" fontId="2" fillId="0" borderId="10" xfId="0" applyFont="1" applyBorder="1"/>
    <xf numFmtId="168" fontId="5" fillId="0" borderId="10" xfId="0" applyNumberFormat="1" applyFont="1" applyBorder="1"/>
    <xf numFmtId="168" fontId="7" fillId="0" borderId="2" xfId="0" applyNumberFormat="1" applyFont="1" applyBorder="1"/>
    <xf numFmtId="0" fontId="12" fillId="0" borderId="0" xfId="0" applyFont="1"/>
    <xf numFmtId="170" fontId="6" fillId="0" borderId="2" xfId="0" applyNumberFormat="1" applyFont="1" applyBorder="1"/>
    <xf numFmtId="192" fontId="2" fillId="4" borderId="0" xfId="0" applyNumberFormat="1" applyFont="1" applyFill="1"/>
    <xf numFmtId="192" fontId="0" fillId="0" borderId="0" xfId="0" applyNumberFormat="1"/>
    <xf numFmtId="193" fontId="0" fillId="0" borderId="0" xfId="0" applyNumberFormat="1"/>
    <xf numFmtId="166" fontId="9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left" indent="1"/>
    </xf>
    <xf numFmtId="181" fontId="5" fillId="2" borderId="2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9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6" fillId="0" borderId="4" xfId="0" applyNumberFormat="1" applyFont="1" applyBorder="1" applyAlignment="1">
      <alignment horizontal="center"/>
    </xf>
    <xf numFmtId="194" fontId="0" fillId="0" borderId="2" xfId="0" applyNumberForma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194" fontId="2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right"/>
    </xf>
    <xf numFmtId="195" fontId="0" fillId="0" borderId="0" xfId="0" applyNumberFormat="1"/>
    <xf numFmtId="195" fontId="0" fillId="0" borderId="2" xfId="0" applyNumberFormat="1" applyBorder="1"/>
    <xf numFmtId="188" fontId="0" fillId="0" borderId="2" xfId="0" applyNumberFormat="1" applyBorder="1"/>
    <xf numFmtId="188" fontId="0" fillId="0" borderId="0" xfId="0" applyNumberFormat="1" applyAlignment="1">
      <alignment horizontal="right"/>
    </xf>
    <xf numFmtId="164" fontId="2" fillId="0" borderId="0" xfId="0" applyNumberFormat="1" applyFont="1"/>
    <xf numFmtId="194" fontId="10" fillId="0" borderId="0" xfId="0" applyNumberFormat="1" applyFont="1" applyAlignment="1">
      <alignment horizontal="left"/>
    </xf>
    <xf numFmtId="196" fontId="0" fillId="0" borderId="0" xfId="0" applyNumberFormat="1"/>
    <xf numFmtId="194" fontId="4" fillId="0" borderId="0" xfId="0" applyNumberFormat="1" applyFont="1" applyAlignment="1">
      <alignment horizontal="left" indent="1"/>
    </xf>
    <xf numFmtId="195" fontId="4" fillId="0" borderId="0" xfId="0" applyNumberFormat="1" applyFont="1"/>
    <xf numFmtId="164" fontId="4" fillId="0" borderId="0" xfId="0" applyNumberFormat="1" applyFont="1"/>
    <xf numFmtId="194" fontId="2" fillId="0" borderId="2" xfId="0" applyNumberFormat="1" applyFont="1" applyBorder="1" applyAlignment="1">
      <alignment horizontal="left"/>
    </xf>
    <xf numFmtId="170" fontId="0" fillId="0" borderId="2" xfId="0" applyNumberFormat="1" applyBorder="1"/>
    <xf numFmtId="165" fontId="0" fillId="0" borderId="0" xfId="0" applyNumberFormat="1" applyAlignment="1">
      <alignment horizontal="right"/>
    </xf>
    <xf numFmtId="188" fontId="7" fillId="0" borderId="0" xfId="0" applyNumberFormat="1" applyFont="1" applyAlignment="1">
      <alignment horizontal="right"/>
    </xf>
    <xf numFmtId="0" fontId="2" fillId="2" borderId="2" xfId="0" applyFont="1" applyFill="1" applyBorder="1"/>
    <xf numFmtId="187" fontId="2" fillId="2" borderId="2" xfId="0" applyNumberFormat="1" applyFont="1" applyFill="1" applyBorder="1"/>
    <xf numFmtId="197" fontId="7" fillId="0" borderId="0" xfId="0" applyNumberFormat="1" applyFont="1" applyAlignment="1">
      <alignment horizontal="right"/>
    </xf>
    <xf numFmtId="0" fontId="2" fillId="0" borderId="3" xfId="0" applyFont="1" applyBorder="1"/>
    <xf numFmtId="168" fontId="2" fillId="0" borderId="1" xfId="0" applyNumberFormat="1" applyFont="1" applyBorder="1"/>
    <xf numFmtId="168" fontId="2" fillId="0" borderId="9" xfId="0" applyNumberFormat="1" applyFont="1" applyBorder="1"/>
    <xf numFmtId="0" fontId="9" fillId="0" borderId="0" xfId="0" applyFont="1"/>
    <xf numFmtId="198" fontId="9" fillId="0" borderId="0" xfId="0" applyNumberFormat="1" applyFont="1"/>
    <xf numFmtId="0" fontId="14" fillId="0" borderId="0" xfId="0" applyFont="1"/>
    <xf numFmtId="0" fontId="0" fillId="0" borderId="0" xfId="0" applyAlignment="1">
      <alignment horizontal="left"/>
    </xf>
    <xf numFmtId="199" fontId="7" fillId="0" borderId="4" xfId="0" applyNumberFormat="1" applyFont="1" applyBorder="1" applyAlignment="1">
      <alignment horizontal="center"/>
    </xf>
    <xf numFmtId="189" fontId="7" fillId="0" borderId="0" xfId="0" applyNumberFormat="1" applyFont="1"/>
    <xf numFmtId="198" fontId="7" fillId="0" borderId="0" xfId="0" applyNumberFormat="1" applyFont="1"/>
    <xf numFmtId="200" fontId="7" fillId="0" borderId="0" xfId="0" applyNumberFormat="1" applyFont="1"/>
    <xf numFmtId="178" fontId="0" fillId="0" borderId="4" xfId="0" applyNumberFormat="1" applyBorder="1" applyAlignment="1">
      <alignment horizontal="center" vertical="top"/>
    </xf>
    <xf numFmtId="171" fontId="7" fillId="0" borderId="0" xfId="0" applyNumberFormat="1" applyFont="1" applyAlignment="1">
      <alignment horizontal="right"/>
    </xf>
    <xf numFmtId="201" fontId="7" fillId="0" borderId="4" xfId="0" applyNumberFormat="1" applyFont="1" applyBorder="1" applyAlignment="1">
      <alignment horizontal="center" vertical="top"/>
    </xf>
    <xf numFmtId="202" fontId="7" fillId="0" borderId="0" xfId="0" applyNumberFormat="1" applyFont="1"/>
    <xf numFmtId="168" fontId="6" fillId="0" borderId="0" xfId="0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8" fontId="8" fillId="0" borderId="0" xfId="0" applyNumberFormat="1" applyFont="1"/>
    <xf numFmtId="200" fontId="5" fillId="0" borderId="0" xfId="0" applyNumberFormat="1" applyFont="1" applyAlignment="1">
      <alignment horizontal="centerContinuous"/>
    </xf>
    <xf numFmtId="0" fontId="0" fillId="2" borderId="2" xfId="0" applyFill="1" applyBorder="1"/>
    <xf numFmtId="0" fontId="0" fillId="0" borderId="0" xfId="0" applyAlignment="1">
      <alignment wrapText="1"/>
    </xf>
    <xf numFmtId="166" fontId="0" fillId="0" borderId="0" xfId="0" applyNumberFormat="1"/>
    <xf numFmtId="166" fontId="6" fillId="0" borderId="2" xfId="1" applyNumberFormat="1" applyFont="1" applyBorder="1"/>
    <xf numFmtId="200" fontId="7" fillId="0" borderId="2" xfId="0" applyNumberFormat="1" applyFont="1" applyBorder="1"/>
    <xf numFmtId="166" fontId="2" fillId="0" borderId="0" xfId="0" applyNumberFormat="1" applyFont="1"/>
    <xf numFmtId="166" fontId="6" fillId="0" borderId="0" xfId="1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166" fontId="7" fillId="0" borderId="0" xfId="0" applyNumberFormat="1" applyFont="1"/>
    <xf numFmtId="189" fontId="6" fillId="0" borderId="0" xfId="0" applyNumberFormat="1" applyFont="1"/>
    <xf numFmtId="0" fontId="7" fillId="0" borderId="2" xfId="0" applyFont="1" applyBorder="1"/>
    <xf numFmtId="166" fontId="7" fillId="0" borderId="2" xfId="0" applyNumberFormat="1" applyFont="1" applyBorder="1"/>
    <xf numFmtId="0" fontId="5" fillId="0" borderId="0" xfId="0" applyFont="1"/>
    <xf numFmtId="166" fontId="5" fillId="0" borderId="0" xfId="0" applyNumberFormat="1" applyFont="1"/>
    <xf numFmtId="165" fontId="2" fillId="0" borderId="0" xfId="0" applyNumberFormat="1" applyFont="1"/>
    <xf numFmtId="166" fontId="2" fillId="0" borderId="1" xfId="0" applyNumberFormat="1" applyFont="1" applyBorder="1"/>
    <xf numFmtId="164" fontId="5" fillId="0" borderId="1" xfId="0" applyNumberFormat="1" applyFont="1" applyBorder="1"/>
    <xf numFmtId="164" fontId="5" fillId="0" borderId="9" xfId="0" applyNumberFormat="1" applyFont="1" applyBorder="1"/>
    <xf numFmtId="198" fontId="2" fillId="0" borderId="0" xfId="0" applyNumberFormat="1" applyFont="1"/>
    <xf numFmtId="198" fontId="0" fillId="0" borderId="2" xfId="0" applyNumberFormat="1" applyBorder="1"/>
    <xf numFmtId="171" fontId="6" fillId="0" borderId="2" xfId="0" applyNumberFormat="1" applyFont="1" applyBorder="1"/>
    <xf numFmtId="171" fontId="0" fillId="0" borderId="2" xfId="0" applyNumberFormat="1" applyBorder="1"/>
    <xf numFmtId="166" fontId="0" fillId="0" borderId="2" xfId="0" applyNumberFormat="1" applyBorder="1"/>
    <xf numFmtId="198" fontId="0" fillId="0" borderId="0" xfId="0" applyNumberFormat="1"/>
    <xf numFmtId="203" fontId="0" fillId="0" borderId="0" xfId="0" applyNumberFormat="1" applyAlignment="1">
      <alignment horizontal="right"/>
    </xf>
    <xf numFmtId="18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84" fontId="2" fillId="4" borderId="0" xfId="0" applyNumberFormat="1" applyFont="1" applyFill="1"/>
    <xf numFmtId="187" fontId="2" fillId="4" borderId="0" xfId="0" applyNumberFormat="1" applyFont="1" applyFill="1"/>
    <xf numFmtId="204" fontId="4" fillId="0" borderId="0" xfId="0" applyNumberFormat="1" applyFont="1"/>
    <xf numFmtId="205" fontId="0" fillId="0" borderId="0" xfId="0" applyNumberFormat="1" applyAlignment="1">
      <alignment horizontal="left" vertical="center"/>
    </xf>
    <xf numFmtId="168" fontId="7" fillId="0" borderId="4" xfId="0" applyNumberFormat="1" applyFont="1" applyBorder="1" applyAlignment="1">
      <alignment horizontal="right"/>
    </xf>
    <xf numFmtId="166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205" fontId="2" fillId="5" borderId="11" xfId="0" applyNumberFormat="1" applyFont="1" applyFill="1" applyBorder="1" applyAlignment="1">
      <alignment horizontal="left" vertical="center"/>
    </xf>
    <xf numFmtId="166" fontId="2" fillId="5" borderId="10" xfId="0" applyNumberFormat="1" applyFont="1" applyFill="1" applyBorder="1" applyAlignment="1">
      <alignment horizontal="center" vertical="center"/>
    </xf>
    <xf numFmtId="171" fontId="2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/>
    </xf>
    <xf numFmtId="166" fontId="2" fillId="5" borderId="10" xfId="0" applyNumberFormat="1" applyFont="1" applyFill="1" applyBorder="1" applyAlignment="1">
      <alignment horizontal="right" vertical="center"/>
    </xf>
    <xf numFmtId="166" fontId="2" fillId="5" borderId="12" xfId="0" applyNumberFormat="1" applyFont="1" applyFill="1" applyBorder="1" applyAlignment="1">
      <alignment horizontal="right" vertical="center"/>
    </xf>
    <xf numFmtId="205" fontId="2" fillId="5" borderId="7" xfId="0" applyNumberFormat="1" applyFont="1" applyFill="1" applyBorder="1" applyAlignment="1">
      <alignment horizontal="left" vertical="center"/>
    </xf>
    <xf numFmtId="166" fontId="2" fillId="5" borderId="2" xfId="0" applyNumberFormat="1" applyFont="1" applyFill="1" applyBorder="1" applyAlignment="1">
      <alignment horizontal="center" vertical="center"/>
    </xf>
    <xf numFmtId="171" fontId="2" fillId="5" borderId="2" xfId="0" applyNumberFormat="1" applyFont="1" applyFill="1" applyBorder="1" applyAlignment="1">
      <alignment horizontal="center" vertical="center"/>
    </xf>
    <xf numFmtId="168" fontId="5" fillId="5" borderId="2" xfId="0" applyNumberFormat="1" applyFont="1" applyFill="1" applyBorder="1" applyAlignment="1">
      <alignment horizontal="right"/>
    </xf>
    <xf numFmtId="171" fontId="2" fillId="5" borderId="2" xfId="0" applyNumberFormat="1" applyFont="1" applyFill="1" applyBorder="1" applyAlignment="1">
      <alignment horizontal="right" vertical="center"/>
    </xf>
    <xf numFmtId="171" fontId="2" fillId="5" borderId="13" xfId="0" applyNumberFormat="1" applyFont="1" applyFill="1" applyBorder="1" applyAlignment="1">
      <alignment horizontal="right" vertical="center"/>
    </xf>
    <xf numFmtId="205" fontId="0" fillId="2" borderId="2" xfId="0" applyNumberFormat="1" applyFill="1" applyBorder="1" applyAlignment="1">
      <alignment horizontal="centerContinuous" vertical="center"/>
    </xf>
    <xf numFmtId="168" fontId="0" fillId="2" borderId="2" xfId="0" applyNumberFormat="1" applyFill="1" applyBorder="1" applyAlignment="1">
      <alignment horizontal="centerContinuous"/>
    </xf>
    <xf numFmtId="168" fontId="7" fillId="2" borderId="2" xfId="0" applyNumberFormat="1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0" fontId="0" fillId="4" borderId="1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206" fontId="3" fillId="0" borderId="0" xfId="0" applyNumberFormat="1" applyFont="1"/>
    <xf numFmtId="171" fontId="0" fillId="0" borderId="0" xfId="0" applyNumberFormat="1" applyAlignment="1">
      <alignment horizontal="center"/>
    </xf>
    <xf numFmtId="171" fontId="6" fillId="0" borderId="0" xfId="0" applyNumberFormat="1" applyFont="1" applyAlignment="1">
      <alignment horizontal="center"/>
    </xf>
    <xf numFmtId="189" fontId="0" fillId="0" borderId="0" xfId="0" applyNumberFormat="1"/>
    <xf numFmtId="207" fontId="0" fillId="0" borderId="4" xfId="0" applyNumberFormat="1" applyBorder="1" applyAlignment="1">
      <alignment horizontal="center"/>
    </xf>
    <xf numFmtId="208" fontId="3" fillId="0" borderId="0" xfId="0" applyNumberFormat="1" applyFont="1"/>
    <xf numFmtId="208" fontId="0" fillId="0" borderId="4" xfId="0" applyNumberFormat="1" applyBorder="1" applyAlignment="1">
      <alignment horizontal="center"/>
    </xf>
    <xf numFmtId="164" fontId="6" fillId="6" borderId="0" xfId="0" applyNumberFormat="1" applyFont="1" applyFill="1"/>
    <xf numFmtId="164" fontId="7" fillId="6" borderId="0" xfId="0" applyNumberFormat="1" applyFont="1" applyFill="1"/>
    <xf numFmtId="166" fontId="8" fillId="7" borderId="0" xfId="0" applyNumberFormat="1" applyFont="1" applyFill="1"/>
    <xf numFmtId="165" fontId="7" fillId="7" borderId="2" xfId="0" applyNumberFormat="1" applyFont="1" applyFill="1" applyBorder="1"/>
    <xf numFmtId="168" fontId="5" fillId="6" borderId="0" xfId="0" applyNumberFormat="1" applyFont="1" applyFill="1"/>
    <xf numFmtId="171" fontId="5" fillId="6" borderId="0" xfId="0" applyNumberFormat="1" applyFont="1" applyFill="1"/>
    <xf numFmtId="165" fontId="6" fillId="7" borderId="0" xfId="0" applyNumberFormat="1" applyFont="1" applyFill="1"/>
    <xf numFmtId="165" fontId="5" fillId="6" borderId="0" xfId="0" applyNumberFormat="1" applyFont="1" applyFill="1"/>
    <xf numFmtId="170" fontId="0" fillId="6" borderId="0" xfId="0" applyNumberFormat="1" applyFill="1" applyAlignment="1">
      <alignment horizontal="right"/>
    </xf>
    <xf numFmtId="170" fontId="0" fillId="6" borderId="2" xfId="0" applyNumberFormat="1" applyFill="1" applyBorder="1" applyAlignment="1">
      <alignment horizontal="right"/>
    </xf>
    <xf numFmtId="170" fontId="5" fillId="6" borderId="0" xfId="0" applyNumberFormat="1" applyFont="1" applyFill="1" applyAlignment="1">
      <alignment horizontal="right"/>
    </xf>
    <xf numFmtId="170" fontId="6" fillId="7" borderId="0" xfId="0" applyNumberFormat="1" applyFont="1" applyFill="1" applyAlignment="1">
      <alignment horizontal="right"/>
    </xf>
    <xf numFmtId="164" fontId="6" fillId="7" borderId="0" xfId="0" applyNumberFormat="1" applyFont="1" applyFill="1" applyAlignment="1">
      <alignment horizontal="right"/>
    </xf>
    <xf numFmtId="170" fontId="6" fillId="7" borderId="2" xfId="0" applyNumberFormat="1" applyFont="1" applyFill="1" applyBorder="1" applyAlignment="1">
      <alignment horizontal="right"/>
    </xf>
    <xf numFmtId="164" fontId="6" fillId="7" borderId="2" xfId="0" applyNumberFormat="1" applyFont="1" applyFill="1" applyBorder="1" applyAlignment="1">
      <alignment horizontal="right"/>
    </xf>
    <xf numFmtId="166" fontId="6" fillId="7" borderId="0" xfId="0" applyNumberFormat="1" applyFont="1" applyFill="1"/>
    <xf numFmtId="168" fontId="6" fillId="7" borderId="0" xfId="0" applyNumberFormat="1" applyFont="1" applyFill="1"/>
    <xf numFmtId="172" fontId="6" fillId="6" borderId="0" xfId="0" applyNumberFormat="1" applyFont="1" applyFill="1"/>
    <xf numFmtId="173" fontId="6" fillId="6" borderId="0" xfId="0" applyNumberFormat="1" applyFont="1" applyFill="1"/>
    <xf numFmtId="166" fontId="6" fillId="6" borderId="0" xfId="0" applyNumberFormat="1" applyFont="1" applyFill="1"/>
    <xf numFmtId="37" fontId="6" fillId="6" borderId="0" xfId="0" applyNumberFormat="1" applyFont="1" applyFill="1" applyAlignment="1">
      <alignment horizontal="right"/>
    </xf>
    <xf numFmtId="176" fontId="6" fillId="6" borderId="0" xfId="0" applyNumberFormat="1" applyFont="1" applyFill="1"/>
    <xf numFmtId="177" fontId="6" fillId="6" borderId="0" xfId="0" applyNumberFormat="1" applyFont="1" applyFill="1" applyAlignment="1">
      <alignment horizontal="right"/>
    </xf>
    <xf numFmtId="166" fontId="6" fillId="6" borderId="0" xfId="0" applyNumberFormat="1" applyFont="1" applyFill="1" applyAlignment="1">
      <alignment horizontal="right"/>
    </xf>
    <xf numFmtId="165" fontId="7" fillId="6" borderId="0" xfId="0" applyNumberFormat="1" applyFont="1" applyFill="1"/>
    <xf numFmtId="168" fontId="0" fillId="6" borderId="0" xfId="0" applyNumberFormat="1" applyFill="1"/>
    <xf numFmtId="165" fontId="6" fillId="6" borderId="0" xfId="0" applyNumberFormat="1" applyFont="1" applyFill="1"/>
    <xf numFmtId="165" fontId="0" fillId="6" borderId="0" xfId="0" applyNumberFormat="1" applyFill="1"/>
    <xf numFmtId="176" fontId="6" fillId="6" borderId="2" xfId="0" applyNumberFormat="1" applyFont="1" applyFill="1" applyBorder="1" applyAlignment="1">
      <alignment horizontal="right"/>
    </xf>
    <xf numFmtId="166" fontId="6" fillId="6" borderId="2" xfId="0" applyNumberFormat="1" applyFont="1" applyFill="1" applyBorder="1" applyAlignment="1">
      <alignment horizontal="right"/>
    </xf>
    <xf numFmtId="165" fontId="6" fillId="6" borderId="2" xfId="0" applyNumberFormat="1" applyFont="1" applyFill="1" applyBorder="1" applyAlignment="1">
      <alignment horizontal="right"/>
    </xf>
    <xf numFmtId="165" fontId="6" fillId="6" borderId="2" xfId="0" applyNumberFormat="1" applyFont="1" applyFill="1" applyBorder="1"/>
    <xf numFmtId="176" fontId="2" fillId="6" borderId="0" xfId="0" applyNumberFormat="1" applyFont="1" applyFill="1" applyAlignment="1">
      <alignment horizontal="right"/>
    </xf>
    <xf numFmtId="178" fontId="6" fillId="6" borderId="0" xfId="0" applyNumberFormat="1" applyFont="1" applyFill="1"/>
    <xf numFmtId="179" fontId="7" fillId="6" borderId="0" xfId="0" applyNumberFormat="1" applyFont="1" applyFill="1"/>
    <xf numFmtId="179" fontId="6" fillId="6" borderId="0" xfId="0" applyNumberFormat="1" applyFont="1" applyFill="1"/>
    <xf numFmtId="180" fontId="6" fillId="6" borderId="0" xfId="0" applyNumberFormat="1" applyFont="1" applyFill="1" applyAlignment="1">
      <alignment horizontal="right"/>
    </xf>
    <xf numFmtId="171" fontId="6" fillId="6" borderId="0" xfId="0" applyNumberFormat="1" applyFont="1" applyFill="1"/>
    <xf numFmtId="168" fontId="7" fillId="6" borderId="0" xfId="0" applyNumberFormat="1" applyFont="1" applyFill="1"/>
    <xf numFmtId="165" fontId="7" fillId="6" borderId="2" xfId="0" applyNumberFormat="1" applyFont="1" applyFill="1" applyBorder="1"/>
    <xf numFmtId="168" fontId="2" fillId="6" borderId="0" xfId="0" applyNumberFormat="1" applyFont="1" applyFill="1"/>
    <xf numFmtId="165" fontId="9" fillId="6" borderId="0" xfId="0" applyNumberFormat="1" applyFont="1" applyFill="1"/>
    <xf numFmtId="181" fontId="6" fillId="6" borderId="0" xfId="1" applyNumberFormat="1" applyFont="1" applyFill="1" applyBorder="1"/>
    <xf numFmtId="182" fontId="6" fillId="6" borderId="0" xfId="0" applyNumberFormat="1" applyFont="1" applyFill="1"/>
    <xf numFmtId="166" fontId="6" fillId="6" borderId="0" xfId="1" applyNumberFormat="1" applyFont="1" applyFill="1" applyBorder="1"/>
    <xf numFmtId="183" fontId="6" fillId="6" borderId="0" xfId="0" applyNumberFormat="1" applyFont="1" applyFill="1"/>
    <xf numFmtId="165" fontId="0" fillId="6" borderId="5" xfId="0" applyNumberForma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168" fontId="6" fillId="6" borderId="0" xfId="0" applyNumberFormat="1" applyFont="1" applyFill="1"/>
    <xf numFmtId="168" fontId="6" fillId="0" borderId="2" xfId="0" applyNumberFormat="1" applyFont="1" applyBorder="1"/>
    <xf numFmtId="0" fontId="2" fillId="0" borderId="0" xfId="0" applyFont="1" applyBorder="1"/>
    <xf numFmtId="0" fontId="0" fillId="0" borderId="0" xfId="0" applyBorder="1"/>
    <xf numFmtId="190" fontId="0" fillId="6" borderId="4" xfId="0" applyNumberFormat="1" applyFill="1" applyBorder="1" applyAlignment="1">
      <alignment horizontal="center"/>
    </xf>
    <xf numFmtId="171" fontId="0" fillId="6" borderId="0" xfId="0" applyNumberFormat="1" applyFill="1"/>
    <xf numFmtId="168" fontId="11" fillId="6" borderId="0" xfId="0" applyNumberFormat="1" applyFont="1" applyFill="1"/>
    <xf numFmtId="166" fontId="4" fillId="6" borderId="0" xfId="0" applyNumberFormat="1" applyFont="1" applyFill="1" applyAlignment="1">
      <alignment horizontal="right"/>
    </xf>
    <xf numFmtId="165" fontId="0" fillId="6" borderId="2" xfId="0" applyNumberFormat="1" applyFill="1" applyBorder="1"/>
    <xf numFmtId="166" fontId="4" fillId="6" borderId="0" xfId="0" applyNumberFormat="1" applyFont="1" applyFill="1"/>
    <xf numFmtId="0" fontId="6" fillId="6" borderId="4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5" fontId="4" fillId="6" borderId="0" xfId="0" applyNumberFormat="1" applyFont="1" applyFill="1" applyAlignment="1">
      <alignment horizontal="right"/>
    </xf>
    <xf numFmtId="165" fontId="4" fillId="6" borderId="0" xfId="0" applyNumberFormat="1" applyFont="1" applyFill="1"/>
    <xf numFmtId="164" fontId="0" fillId="6" borderId="0" xfId="0" applyNumberFormat="1" applyFill="1"/>
    <xf numFmtId="188" fontId="4" fillId="6" borderId="0" xfId="0" applyNumberFormat="1" applyFont="1" applyFill="1" applyAlignment="1">
      <alignment horizontal="right"/>
    </xf>
    <xf numFmtId="189" fontId="4" fillId="6" borderId="0" xfId="0" applyNumberFormat="1" applyFont="1" applyFill="1" applyAlignment="1">
      <alignment horizontal="right"/>
    </xf>
    <xf numFmtId="166" fontId="9" fillId="6" borderId="1" xfId="0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>
      <alignment horizontal="right"/>
    </xf>
    <xf numFmtId="165" fontId="9" fillId="6" borderId="9" xfId="0" applyNumberFormat="1" applyFont="1" applyFill="1" applyBorder="1" applyAlignment="1">
      <alignment horizontal="right"/>
    </xf>
    <xf numFmtId="165" fontId="8" fillId="6" borderId="0" xfId="0" applyNumberFormat="1" applyFont="1" applyFill="1"/>
    <xf numFmtId="189" fontId="9" fillId="6" borderId="1" xfId="0" applyNumberFormat="1" applyFont="1" applyFill="1" applyBorder="1" applyAlignment="1">
      <alignment horizontal="right"/>
    </xf>
    <xf numFmtId="189" fontId="9" fillId="6" borderId="9" xfId="0" applyNumberFormat="1" applyFont="1" applyFill="1" applyBorder="1" applyAlignment="1">
      <alignment horizontal="right"/>
    </xf>
    <xf numFmtId="189" fontId="8" fillId="6" borderId="0" xfId="0" applyNumberFormat="1" applyFont="1" applyFill="1"/>
    <xf numFmtId="166" fontId="4" fillId="6" borderId="1" xfId="1" applyNumberFormat="1" applyFont="1" applyFill="1" applyBorder="1"/>
    <xf numFmtId="166" fontId="9" fillId="6" borderId="9" xfId="0" applyNumberFormat="1" applyFont="1" applyFill="1" applyBorder="1" applyAlignment="1">
      <alignment horizontal="right"/>
    </xf>
    <xf numFmtId="166" fontId="8" fillId="6" borderId="0" xfId="0" applyNumberFormat="1" applyFont="1" applyFill="1" applyAlignment="1">
      <alignment horizontal="right"/>
    </xf>
    <xf numFmtId="166" fontId="9" fillId="6" borderId="0" xfId="0" applyNumberFormat="1" applyFont="1" applyFill="1"/>
    <xf numFmtId="168" fontId="5" fillId="6" borderId="10" xfId="0" applyNumberFormat="1" applyFont="1" applyFill="1" applyBorder="1"/>
    <xf numFmtId="168" fontId="7" fillId="6" borderId="2" xfId="0" applyNumberFormat="1" applyFont="1" applyFill="1" applyBorder="1"/>
    <xf numFmtId="170" fontId="6" fillId="6" borderId="2" xfId="0" applyNumberFormat="1" applyFont="1" applyFill="1" applyBorder="1"/>
    <xf numFmtId="0" fontId="0" fillId="6" borderId="0" xfId="0" applyFill="1"/>
    <xf numFmtId="0" fontId="0" fillId="6" borderId="2" xfId="0" applyFill="1" applyBorder="1"/>
    <xf numFmtId="0" fontId="2" fillId="6" borderId="0" xfId="0" applyFont="1" applyFill="1"/>
    <xf numFmtId="0" fontId="4" fillId="6" borderId="1" xfId="0" applyFont="1" applyFill="1" applyBorder="1" applyAlignment="1">
      <alignment horizontal="right"/>
    </xf>
    <xf numFmtId="168" fontId="6" fillId="6" borderId="4" xfId="0" applyNumberFormat="1" applyFont="1" applyFill="1" applyBorder="1" applyAlignment="1">
      <alignment horizontal="center"/>
    </xf>
    <xf numFmtId="164" fontId="6" fillId="6" borderId="0" xfId="0" applyNumberFormat="1" applyFont="1" applyFill="1" applyAlignment="1">
      <alignment horizontal="right"/>
    </xf>
    <xf numFmtId="164" fontId="6" fillId="6" borderId="2" xfId="0" applyNumberFormat="1" applyFont="1" applyFill="1" applyBorder="1" applyAlignment="1">
      <alignment horizontal="right"/>
    </xf>
    <xf numFmtId="195" fontId="5" fillId="6" borderId="0" xfId="0" applyNumberFormat="1" applyFont="1" applyFill="1" applyAlignment="1">
      <alignment horizontal="right"/>
    </xf>
    <xf numFmtId="188" fontId="0" fillId="6" borderId="0" xfId="0" applyNumberFormat="1" applyFill="1"/>
    <xf numFmtId="188" fontId="0" fillId="6" borderId="2" xfId="0" applyNumberFormat="1" applyFill="1" applyBorder="1"/>
    <xf numFmtId="164" fontId="2" fillId="6" borderId="0" xfId="0" applyNumberFormat="1" applyFont="1" applyFill="1"/>
    <xf numFmtId="196" fontId="0" fillId="6" borderId="0" xfId="0" applyNumberFormat="1" applyFill="1"/>
    <xf numFmtId="168" fontId="2" fillId="6" borderId="1" xfId="0" applyNumberFormat="1" applyFont="1" applyFill="1" applyBorder="1"/>
    <xf numFmtId="168" fontId="2" fillId="6" borderId="9" xfId="0" applyNumberFormat="1" applyFont="1" applyFill="1" applyBorder="1"/>
    <xf numFmtId="199" fontId="7" fillId="6" borderId="4" xfId="0" applyNumberFormat="1" applyFont="1" applyFill="1" applyBorder="1" applyAlignment="1">
      <alignment horizontal="center"/>
    </xf>
    <xf numFmtId="189" fontId="7" fillId="6" borderId="0" xfId="0" applyNumberFormat="1" applyFont="1" applyFill="1"/>
    <xf numFmtId="178" fontId="0" fillId="6" borderId="4" xfId="0" applyNumberFormat="1" applyFill="1" applyBorder="1" applyAlignment="1">
      <alignment horizontal="center" vertical="top"/>
    </xf>
    <xf numFmtId="171" fontId="7" fillId="6" borderId="0" xfId="0" applyNumberFormat="1" applyFont="1" applyFill="1" applyAlignment="1">
      <alignment horizontal="right"/>
    </xf>
    <xf numFmtId="201" fontId="7" fillId="6" borderId="4" xfId="0" applyNumberFormat="1" applyFont="1" applyFill="1" applyBorder="1" applyAlignment="1">
      <alignment horizontal="center" vertical="top"/>
    </xf>
    <xf numFmtId="168" fontId="6" fillId="6" borderId="0" xfId="0" applyNumberFormat="1" applyFont="1" applyFill="1" applyAlignment="1">
      <alignment horizontal="right"/>
    </xf>
    <xf numFmtId="168" fontId="7" fillId="6" borderId="0" xfId="0" applyNumberFormat="1" applyFont="1" applyFill="1" applyAlignment="1">
      <alignment horizontal="right"/>
    </xf>
    <xf numFmtId="165" fontId="7" fillId="6" borderId="2" xfId="0" applyNumberFormat="1" applyFont="1" applyFill="1" applyBorder="1" applyAlignment="1">
      <alignment horizontal="right"/>
    </xf>
    <xf numFmtId="166" fontId="8" fillId="6" borderId="0" xfId="0" applyNumberFormat="1" applyFont="1" applyFill="1"/>
    <xf numFmtId="168" fontId="8" fillId="6" borderId="0" xfId="0" applyNumberFormat="1" applyFont="1" applyFill="1"/>
    <xf numFmtId="166" fontId="0" fillId="6" borderId="0" xfId="0" applyNumberFormat="1" applyFill="1"/>
    <xf numFmtId="166" fontId="6" fillId="6" borderId="2" xfId="1" applyNumberFormat="1" applyFont="1" applyFill="1" applyBorder="1"/>
    <xf numFmtId="166" fontId="2" fillId="6" borderId="0" xfId="0" applyNumberFormat="1" applyFont="1" applyFill="1"/>
    <xf numFmtId="166" fontId="6" fillId="6" borderId="0" xfId="1" applyNumberFormat="1" applyFont="1" applyFill="1"/>
    <xf numFmtId="166" fontId="7" fillId="6" borderId="0" xfId="0" applyNumberFormat="1" applyFont="1" applyFill="1"/>
    <xf numFmtId="166" fontId="7" fillId="6" borderId="2" xfId="0" applyNumberFormat="1" applyFont="1" applyFill="1" applyBorder="1"/>
    <xf numFmtId="166" fontId="5" fillId="6" borderId="0" xfId="0" applyNumberFormat="1" applyFont="1" applyFill="1"/>
    <xf numFmtId="189" fontId="6" fillId="6" borderId="0" xfId="0" applyNumberFormat="1" applyFont="1" applyFill="1"/>
    <xf numFmtId="165" fontId="0" fillId="6" borderId="0" xfId="0" applyNumberFormat="1" applyFill="1" applyAlignment="1">
      <alignment horizontal="right"/>
    </xf>
    <xf numFmtId="165" fontId="2" fillId="6" borderId="0" xfId="0" applyNumberFormat="1" applyFont="1" applyFill="1"/>
    <xf numFmtId="164" fontId="5" fillId="6" borderId="1" xfId="0" applyNumberFormat="1" applyFont="1" applyFill="1" applyBorder="1"/>
    <xf numFmtId="164" fontId="5" fillId="6" borderId="9" xfId="0" applyNumberFormat="1" applyFont="1" applyFill="1" applyBorder="1"/>
    <xf numFmtId="171" fontId="6" fillId="6" borderId="2" xfId="0" applyNumberFormat="1" applyFont="1" applyFill="1" applyBorder="1"/>
    <xf numFmtId="171" fontId="0" fillId="6" borderId="2" xfId="0" applyNumberFormat="1" applyFill="1" applyBorder="1"/>
    <xf numFmtId="180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68" fontId="7" fillId="6" borderId="4" xfId="0" applyNumberFormat="1" applyFont="1" applyFill="1" applyBorder="1" applyAlignment="1">
      <alignment horizontal="right"/>
    </xf>
    <xf numFmtId="206" fontId="3" fillId="6" borderId="0" xfId="0" applyNumberFormat="1" applyFont="1" applyFill="1"/>
    <xf numFmtId="171" fontId="0" fillId="6" borderId="0" xfId="0" applyNumberFormat="1" applyFill="1" applyAlignment="1">
      <alignment horizontal="center"/>
    </xf>
    <xf numFmtId="171" fontId="6" fillId="6" borderId="0" xfId="0" applyNumberFormat="1" applyFont="1" applyFill="1" applyAlignment="1">
      <alignment horizontal="center"/>
    </xf>
    <xf numFmtId="189" fontId="0" fillId="6" borderId="0" xfId="0" applyNumberFormat="1" applyFill="1"/>
    <xf numFmtId="207" fontId="0" fillId="6" borderId="4" xfId="0" applyNumberFormat="1" applyFill="1" applyBorder="1" applyAlignment="1">
      <alignment horizontal="center"/>
    </xf>
    <xf numFmtId="208" fontId="3" fillId="6" borderId="0" xfId="0" applyNumberFormat="1" applyFont="1" applyFill="1"/>
    <xf numFmtId="208" fontId="0" fillId="6" borderId="4" xfId="0" applyNumberFormat="1" applyFill="1" applyBorder="1" applyAlignment="1">
      <alignment horizontal="center"/>
    </xf>
    <xf numFmtId="0" fontId="0" fillId="0" borderId="0" xfId="0" applyFont="1"/>
    <xf numFmtId="168" fontId="7" fillId="0" borderId="4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66"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C00000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8000"/>
      </font>
    </dxf>
    <dxf>
      <font>
        <color rgb="FF9C0006"/>
      </font>
    </dxf>
    <dxf>
      <font>
        <color rgb="FF0070C0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9C0006"/>
      </font>
    </dxf>
    <dxf>
      <font>
        <color rgb="FF0070C0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</dxf>
    <dxf>
      <font>
        <color rgb="FF008000"/>
      </font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C00000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8000"/>
      </font>
    </dxf>
    <dxf>
      <font>
        <color rgb="FF9C0006"/>
      </font>
    </dxf>
    <dxf>
      <font>
        <color rgb="FF0070C0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9C0006"/>
      </font>
    </dxf>
    <dxf>
      <font>
        <color rgb="FF008000"/>
      </font>
    </dxf>
    <dxf>
      <font>
        <color rgb="FF9C0006"/>
      </font>
    </dxf>
    <dxf>
      <font>
        <color rgb="FF0070C0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</dxf>
    <dxf>
      <font>
        <color rgb="FF008000"/>
      </font>
    </dxf>
  </dxfs>
  <tableStyles count="0" defaultTableStyle="TableStyleMedium2" defaultPivotStyle="PivotStyleLight16"/>
  <colors>
    <mruColors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24962</xdr:colOff>
      <xdr:row>0</xdr:row>
      <xdr:rowOff>131004</xdr:rowOff>
    </xdr:from>
    <xdr:to>
      <xdr:col>1</xdr:col>
      <xdr:colOff>1356279</xdr:colOff>
      <xdr:row>1</xdr:row>
      <xdr:rowOff>136650</xdr:rowOff>
    </xdr:to>
    <xdr:pic>
      <xdr:nvPicPr>
        <xdr:cNvPr id="2" name="Google Shape;17;p2">
          <a:extLst>
            <a:ext uri="{FF2B5EF4-FFF2-40B4-BE49-F238E27FC236}">
              <a16:creationId xmlns:a16="http://schemas.microsoft.com/office/drawing/2014/main" id="{B39630EC-1DE1-44AF-A902-06B38693D1A6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44705" y="131004"/>
          <a:ext cx="1331317" cy="1634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22080</xdr:colOff>
      <xdr:row>0</xdr:row>
      <xdr:rowOff>128798</xdr:rowOff>
    </xdr:from>
    <xdr:to>
      <xdr:col>1</xdr:col>
      <xdr:colOff>1353397</xdr:colOff>
      <xdr:row>1</xdr:row>
      <xdr:rowOff>135451</xdr:rowOff>
    </xdr:to>
    <xdr:pic>
      <xdr:nvPicPr>
        <xdr:cNvPr id="2" name="Google Shape;17;p2">
          <a:extLst>
            <a:ext uri="{FF2B5EF4-FFF2-40B4-BE49-F238E27FC236}">
              <a16:creationId xmlns:a16="http://schemas.microsoft.com/office/drawing/2014/main" id="{B26A7037-4D34-462B-A67C-68A17B81E5A6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39781" y="130839"/>
          <a:ext cx="1332006" cy="166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22080</xdr:colOff>
      <xdr:row>0</xdr:row>
      <xdr:rowOff>128798</xdr:rowOff>
    </xdr:from>
    <xdr:to>
      <xdr:col>1</xdr:col>
      <xdr:colOff>1354760</xdr:colOff>
      <xdr:row>1</xdr:row>
      <xdr:rowOff>136814</xdr:rowOff>
    </xdr:to>
    <xdr:pic>
      <xdr:nvPicPr>
        <xdr:cNvPr id="4" name="Google Shape;17;p2">
          <a:extLst>
            <a:ext uri="{FF2B5EF4-FFF2-40B4-BE49-F238E27FC236}">
              <a16:creationId xmlns:a16="http://schemas.microsoft.com/office/drawing/2014/main" id="{66C67021-16C4-47EE-8EEA-279602A899CB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43498" y="128798"/>
          <a:ext cx="1327923" cy="1706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6C469-ED7B-4B5E-8F43-4F337C0C0AF6}">
  <sheetPr>
    <tabColor theme="6" tint="0.79998168889431442"/>
  </sheetPr>
  <dimension ref="B3:J107"/>
  <sheetViews>
    <sheetView showGridLines="0" tabSelected="1" zoomScaleNormal="100" workbookViewId="0"/>
  </sheetViews>
  <sheetFormatPr defaultRowHeight="12.45" x14ac:dyDescent="0.3"/>
  <cols>
    <col min="1" max="1" width="1.69140625" bestFit="1" customWidth="1"/>
    <col min="2" max="2" width="20.69140625" customWidth="1"/>
    <col min="3" max="12" width="10.69140625" customWidth="1"/>
  </cols>
  <sheetData>
    <row r="3" spans="2:10" x14ac:dyDescent="0.3">
      <c r="B3" s="1" t="s">
        <v>301</v>
      </c>
      <c r="C3" s="111"/>
      <c r="D3" s="111"/>
      <c r="E3" s="111"/>
      <c r="F3" s="111"/>
      <c r="G3" s="111"/>
      <c r="H3" s="111"/>
      <c r="I3" s="111"/>
      <c r="J3" s="111"/>
    </row>
    <row r="4" spans="2:10" ht="12.9" x14ac:dyDescent="0.35">
      <c r="B4" s="2" t="s">
        <v>1</v>
      </c>
      <c r="C4" s="302"/>
      <c r="D4" s="302"/>
      <c r="E4" s="302"/>
      <c r="F4" s="302"/>
    </row>
    <row r="5" spans="2:10" x14ac:dyDescent="0.3">
      <c r="B5" s="301"/>
    </row>
    <row r="6" spans="2:10" x14ac:dyDescent="0.3">
      <c r="B6" s="5" t="s">
        <v>295</v>
      </c>
      <c r="C6" s="5"/>
      <c r="D6" s="5"/>
      <c r="E6" s="70">
        <v>2020</v>
      </c>
      <c r="G6" s="5" t="s">
        <v>300</v>
      </c>
      <c r="H6" s="5"/>
      <c r="I6" s="5"/>
      <c r="J6" s="70">
        <v>2020</v>
      </c>
    </row>
    <row r="7" spans="2:10" x14ac:dyDescent="0.3">
      <c r="E7" s="62"/>
    </row>
    <row r="8" spans="2:10" x14ac:dyDescent="0.3">
      <c r="B8" t="s">
        <v>93</v>
      </c>
      <c r="E8" s="77">
        <v>200</v>
      </c>
      <c r="G8" t="s">
        <v>146</v>
      </c>
      <c r="J8" s="77">
        <v>1500</v>
      </c>
    </row>
    <row r="9" spans="2:10" x14ac:dyDescent="0.3">
      <c r="B9" t="s">
        <v>94</v>
      </c>
      <c r="E9" s="44">
        <v>300</v>
      </c>
      <c r="G9" s="9" t="s">
        <v>117</v>
      </c>
      <c r="H9" s="9"/>
      <c r="I9" s="9"/>
      <c r="J9" s="49">
        <v>-975</v>
      </c>
    </row>
    <row r="10" spans="2:10" x14ac:dyDescent="0.3">
      <c r="B10" t="s">
        <v>95</v>
      </c>
      <c r="E10" s="44">
        <v>425</v>
      </c>
      <c r="G10" s="13" t="s">
        <v>118</v>
      </c>
      <c r="H10" s="13"/>
      <c r="I10" s="13"/>
      <c r="J10" s="16">
        <f>+SUM(J8:J9)</f>
        <v>525</v>
      </c>
    </row>
    <row r="11" spans="2:10" x14ac:dyDescent="0.3">
      <c r="B11" s="9" t="s">
        <v>96</v>
      </c>
      <c r="C11" s="9"/>
      <c r="D11" s="9"/>
      <c r="E11" s="49">
        <v>50</v>
      </c>
      <c r="G11" t="s">
        <v>120</v>
      </c>
      <c r="J11" s="44">
        <v>-150</v>
      </c>
    </row>
    <row r="12" spans="2:10" x14ac:dyDescent="0.3">
      <c r="B12" s="13" t="s">
        <v>97</v>
      </c>
      <c r="E12" s="16">
        <f>+SUM(E8:E11)</f>
        <v>975</v>
      </c>
      <c r="G12" s="9" t="s">
        <v>121</v>
      </c>
      <c r="H12" s="9"/>
      <c r="I12" s="9"/>
      <c r="J12" s="49">
        <v>-30</v>
      </c>
    </row>
    <row r="13" spans="2:10" x14ac:dyDescent="0.3">
      <c r="B13" s="13"/>
      <c r="E13" s="14"/>
      <c r="G13" s="130" t="s">
        <v>122</v>
      </c>
      <c r="H13" s="130"/>
      <c r="I13" s="130"/>
      <c r="J13" s="131">
        <f>+J10+SUM(J11:J12)</f>
        <v>345</v>
      </c>
    </row>
    <row r="14" spans="2:10" x14ac:dyDescent="0.3">
      <c r="B14" t="s">
        <v>98</v>
      </c>
      <c r="E14" s="77">
        <v>1000</v>
      </c>
      <c r="G14" s="9" t="s">
        <v>160</v>
      </c>
      <c r="H14" s="9"/>
      <c r="I14" s="9"/>
      <c r="J14" s="49">
        <v>-30</v>
      </c>
    </row>
    <row r="15" spans="2:10" x14ac:dyDescent="0.3">
      <c r="B15" t="s">
        <v>99</v>
      </c>
      <c r="E15" s="44">
        <v>200</v>
      </c>
      <c r="G15" s="13" t="s">
        <v>164</v>
      </c>
      <c r="H15" s="13"/>
      <c r="I15" s="13"/>
      <c r="J15" s="16">
        <f>+SUM(J13:J14)</f>
        <v>315</v>
      </c>
    </row>
    <row r="16" spans="2:10" x14ac:dyDescent="0.3">
      <c r="B16" s="9" t="s">
        <v>100</v>
      </c>
      <c r="C16" s="9"/>
      <c r="D16" s="9"/>
      <c r="E16" s="49">
        <v>0</v>
      </c>
      <c r="G16" s="9" t="s">
        <v>166</v>
      </c>
      <c r="H16" s="9"/>
      <c r="I16" s="9"/>
      <c r="J16" s="49">
        <v>-15</v>
      </c>
    </row>
    <row r="17" spans="2:10" x14ac:dyDescent="0.3">
      <c r="B17" s="13" t="s">
        <v>101</v>
      </c>
      <c r="E17" s="16">
        <f>+SUM(E12,E14:E16)</f>
        <v>2175</v>
      </c>
      <c r="G17" s="13" t="s">
        <v>168</v>
      </c>
      <c r="H17" s="13"/>
      <c r="I17" s="13"/>
      <c r="J17" s="16">
        <f>+SUM(J15:J16)</f>
        <v>300</v>
      </c>
    </row>
    <row r="18" spans="2:10" x14ac:dyDescent="0.3">
      <c r="E18" s="45"/>
      <c r="G18" s="9" t="s">
        <v>169</v>
      </c>
      <c r="H18" s="9"/>
      <c r="I18" s="9"/>
      <c r="J18" s="49">
        <v>-75</v>
      </c>
    </row>
    <row r="19" spans="2:10" x14ac:dyDescent="0.3">
      <c r="B19" t="s">
        <v>42</v>
      </c>
      <c r="E19" s="77">
        <v>0</v>
      </c>
      <c r="G19" s="130" t="s">
        <v>170</v>
      </c>
      <c r="H19" s="130"/>
      <c r="I19" s="130"/>
      <c r="J19" s="131">
        <f>+SUM(J17:J18)</f>
        <v>225</v>
      </c>
    </row>
    <row r="20" spans="2:10" x14ac:dyDescent="0.3">
      <c r="B20" t="s">
        <v>102</v>
      </c>
      <c r="E20" s="44">
        <v>350</v>
      </c>
    </row>
    <row r="21" spans="2:10" x14ac:dyDescent="0.3">
      <c r="B21" t="s">
        <v>103</v>
      </c>
      <c r="E21" s="44">
        <v>200</v>
      </c>
    </row>
    <row r="22" spans="2:10" x14ac:dyDescent="0.3">
      <c r="B22" s="9" t="s">
        <v>104</v>
      </c>
      <c r="C22" s="9"/>
      <c r="D22" s="9"/>
      <c r="E22" s="49">
        <v>75</v>
      </c>
    </row>
    <row r="23" spans="2:10" x14ac:dyDescent="0.3">
      <c r="B23" s="13" t="s">
        <v>105</v>
      </c>
      <c r="E23" s="16">
        <f>+SUM(E19:E22)</f>
        <v>625</v>
      </c>
    </row>
    <row r="24" spans="2:10" x14ac:dyDescent="0.3">
      <c r="B24" s="13"/>
      <c r="E24" s="14"/>
    </row>
    <row r="25" spans="2:10" x14ac:dyDescent="0.3">
      <c r="B25" s="9" t="s">
        <v>106</v>
      </c>
      <c r="C25" s="9"/>
      <c r="D25" s="9"/>
      <c r="E25" s="300">
        <v>450</v>
      </c>
    </row>
    <row r="26" spans="2:10" x14ac:dyDescent="0.3">
      <c r="B26" s="13" t="s">
        <v>109</v>
      </c>
      <c r="E26" s="16">
        <f>+SUM(E23,E25:E25)</f>
        <v>1075</v>
      </c>
    </row>
    <row r="27" spans="2:10" x14ac:dyDescent="0.3">
      <c r="B27" s="13"/>
      <c r="E27" s="14"/>
    </row>
    <row r="28" spans="2:10" x14ac:dyDescent="0.3">
      <c r="B28" s="9" t="s">
        <v>110</v>
      </c>
      <c r="C28" s="9"/>
      <c r="D28" s="9"/>
      <c r="E28" s="49">
        <v>1100</v>
      </c>
    </row>
    <row r="29" spans="2:10" x14ac:dyDescent="0.3">
      <c r="B29" s="13" t="s">
        <v>111</v>
      </c>
      <c r="E29" s="16">
        <f>+SUM(E26,E28)</f>
        <v>2175</v>
      </c>
    </row>
    <row r="30" spans="2:10" x14ac:dyDescent="0.3">
      <c r="B30" s="13"/>
      <c r="F30" s="16"/>
    </row>
    <row r="31" spans="2:10" x14ac:dyDescent="0.3">
      <c r="B31" s="5" t="s">
        <v>299</v>
      </c>
      <c r="C31" s="5"/>
      <c r="D31" s="5"/>
      <c r="E31" s="5"/>
      <c r="F31" s="90">
        <v>2021</v>
      </c>
      <c r="G31" s="90">
        <f>+F31+1</f>
        <v>2022</v>
      </c>
      <c r="H31" s="90">
        <f>+G31+1</f>
        <v>2023</v>
      </c>
      <c r="I31" s="90">
        <f>+H31+1</f>
        <v>2024</v>
      </c>
      <c r="J31" s="90">
        <f>+I31+1</f>
        <v>2025</v>
      </c>
    </row>
    <row r="32" spans="2:10" x14ac:dyDescent="0.3">
      <c r="B32" s="13"/>
    </row>
    <row r="33" spans="2:10" ht="12.9" x14ac:dyDescent="0.35">
      <c r="B33" s="110" t="s">
        <v>191</v>
      </c>
      <c r="C33" s="111"/>
      <c r="D33" s="111"/>
      <c r="E33" s="112"/>
      <c r="F33" s="112"/>
      <c r="G33" s="112"/>
      <c r="H33" s="112"/>
      <c r="I33" s="112"/>
      <c r="J33" s="122"/>
    </row>
    <row r="34" spans="2:10" ht="12.9" x14ac:dyDescent="0.35">
      <c r="B34" s="115" t="s">
        <v>134</v>
      </c>
      <c r="C34" s="115"/>
      <c r="E34" s="138"/>
      <c r="F34" s="123">
        <v>0.1</v>
      </c>
      <c r="G34" s="123">
        <v>0.1</v>
      </c>
      <c r="H34" s="123">
        <v>0.1</v>
      </c>
      <c r="I34" s="123">
        <v>0.1</v>
      </c>
      <c r="J34" s="123">
        <v>0.1</v>
      </c>
    </row>
    <row r="35" spans="2:10" ht="12.9" x14ac:dyDescent="0.35">
      <c r="B35" s="115" t="s">
        <v>135</v>
      </c>
      <c r="C35" s="115"/>
      <c r="E35" s="138"/>
      <c r="F35" s="123">
        <v>0.15</v>
      </c>
      <c r="G35" s="123">
        <v>0.15</v>
      </c>
      <c r="H35" s="123">
        <v>0.15</v>
      </c>
      <c r="I35" s="123">
        <v>0.15</v>
      </c>
      <c r="J35" s="123">
        <v>0.15</v>
      </c>
    </row>
    <row r="36" spans="2:10" ht="12.9" x14ac:dyDescent="0.35">
      <c r="B36" s="115" t="s">
        <v>136</v>
      </c>
      <c r="C36" s="115"/>
      <c r="E36" s="138"/>
      <c r="F36" s="123">
        <v>2.5000000000000001E-2</v>
      </c>
      <c r="G36" s="123">
        <v>2.5000000000000001E-2</v>
      </c>
      <c r="H36" s="123">
        <v>2.5000000000000001E-2</v>
      </c>
      <c r="I36" s="123">
        <v>2.5000000000000001E-2</v>
      </c>
      <c r="J36" s="123">
        <v>2.5000000000000001E-2</v>
      </c>
    </row>
    <row r="37" spans="2:10" ht="12.9" x14ac:dyDescent="0.35">
      <c r="E37" s="138"/>
      <c r="F37" s="123"/>
      <c r="G37" s="123"/>
      <c r="H37" s="123"/>
      <c r="I37" s="123"/>
      <c r="J37" s="123"/>
    </row>
    <row r="38" spans="2:10" ht="12.9" x14ac:dyDescent="0.35">
      <c r="B38" s="110" t="s">
        <v>119</v>
      </c>
      <c r="C38" s="111"/>
      <c r="D38" s="111"/>
      <c r="E38" s="121"/>
      <c r="F38" s="112"/>
      <c r="G38" s="112"/>
      <c r="H38" s="112"/>
      <c r="I38" s="112"/>
      <c r="J38" s="122"/>
    </row>
    <row r="39" spans="2:10" ht="12.9" x14ac:dyDescent="0.35">
      <c r="B39" s="115" t="s">
        <v>134</v>
      </c>
      <c r="C39" s="115"/>
      <c r="E39" s="138"/>
      <c r="F39" s="123">
        <v>0.35</v>
      </c>
      <c r="G39" s="123">
        <v>0.35</v>
      </c>
      <c r="H39" s="123">
        <v>0.35</v>
      </c>
      <c r="I39" s="123">
        <v>0.35</v>
      </c>
      <c r="J39" s="123">
        <v>0.35</v>
      </c>
    </row>
    <row r="40" spans="2:10" ht="12.9" x14ac:dyDescent="0.35">
      <c r="B40" s="115" t="s">
        <v>135</v>
      </c>
      <c r="C40" s="115"/>
      <c r="E40" s="138"/>
      <c r="F40" s="123">
        <v>0.4</v>
      </c>
      <c r="G40" s="123">
        <v>0.4</v>
      </c>
      <c r="H40" s="123">
        <v>0.4</v>
      </c>
      <c r="I40" s="123">
        <v>0.4</v>
      </c>
      <c r="J40" s="123">
        <v>0.4</v>
      </c>
    </row>
    <row r="41" spans="2:10" ht="12.9" x14ac:dyDescent="0.35">
      <c r="B41" s="115" t="s">
        <v>136</v>
      </c>
      <c r="C41" s="115"/>
      <c r="E41" s="138"/>
      <c r="F41" s="123">
        <v>0.3</v>
      </c>
      <c r="G41" s="123">
        <v>0.3</v>
      </c>
      <c r="H41" s="123">
        <v>0.3</v>
      </c>
      <c r="I41" s="123">
        <v>0.3</v>
      </c>
      <c r="J41" s="123">
        <v>0.3</v>
      </c>
    </row>
    <row r="42" spans="2:10" ht="12.9" x14ac:dyDescent="0.35">
      <c r="E42" s="138"/>
      <c r="F42" s="123"/>
      <c r="G42" s="123"/>
      <c r="H42" s="123"/>
      <c r="I42" s="123"/>
      <c r="J42" s="123"/>
    </row>
    <row r="43" spans="2:10" ht="12.9" x14ac:dyDescent="0.35">
      <c r="B43" s="110" t="s">
        <v>138</v>
      </c>
      <c r="C43" s="111"/>
      <c r="D43" s="111"/>
      <c r="E43" s="121"/>
      <c r="F43" s="112"/>
      <c r="G43" s="112"/>
      <c r="H43" s="112"/>
      <c r="I43" s="112"/>
      <c r="J43" s="122"/>
    </row>
    <row r="44" spans="2:10" ht="12.9" x14ac:dyDescent="0.35">
      <c r="B44" s="115" t="s">
        <v>134</v>
      </c>
      <c r="C44" s="115"/>
      <c r="E44" s="138"/>
      <c r="F44" s="123">
        <v>0.1</v>
      </c>
      <c r="G44" s="123">
        <v>0.1</v>
      </c>
      <c r="H44" s="123">
        <v>0.1</v>
      </c>
      <c r="I44" s="123">
        <v>0.1</v>
      </c>
      <c r="J44" s="123">
        <v>0.1</v>
      </c>
    </row>
    <row r="45" spans="2:10" ht="12.9" x14ac:dyDescent="0.35">
      <c r="B45" s="115" t="s">
        <v>135</v>
      </c>
      <c r="C45" s="115"/>
      <c r="E45" s="138"/>
      <c r="F45" s="123">
        <v>7.4999999999999997E-2</v>
      </c>
      <c r="G45" s="123">
        <v>7.4999999999999997E-2</v>
      </c>
      <c r="H45" s="123">
        <v>7.4999999999999997E-2</v>
      </c>
      <c r="I45" s="123">
        <v>7.4999999999999997E-2</v>
      </c>
      <c r="J45" s="123">
        <v>7.4999999999999997E-2</v>
      </c>
    </row>
    <row r="46" spans="2:10" ht="12.9" x14ac:dyDescent="0.35">
      <c r="B46" s="115" t="s">
        <v>136</v>
      </c>
      <c r="C46" s="115"/>
      <c r="E46" s="138"/>
      <c r="F46" s="123">
        <v>0.125</v>
      </c>
      <c r="G46" s="123">
        <v>0.125</v>
      </c>
      <c r="H46" s="123">
        <v>0.125</v>
      </c>
      <c r="I46" s="123">
        <v>0.125</v>
      </c>
      <c r="J46" s="123">
        <v>0.125</v>
      </c>
    </row>
    <row r="47" spans="2:10" ht="12.9" x14ac:dyDescent="0.35">
      <c r="B47" s="115"/>
      <c r="C47" s="115"/>
      <c r="E47" s="138"/>
      <c r="F47" s="123"/>
      <c r="G47" s="123"/>
      <c r="H47" s="123"/>
      <c r="I47" s="123"/>
      <c r="J47" s="123"/>
    </row>
    <row r="48" spans="2:10" ht="12.9" x14ac:dyDescent="0.35">
      <c r="B48" s="110" t="s">
        <v>139</v>
      </c>
      <c r="C48" s="111"/>
      <c r="D48" s="111"/>
      <c r="E48" s="121"/>
      <c r="F48" s="112"/>
      <c r="G48" s="112"/>
      <c r="H48" s="112"/>
      <c r="I48" s="112"/>
      <c r="J48" s="122"/>
    </row>
    <row r="49" spans="2:10" ht="12.9" x14ac:dyDescent="0.35">
      <c r="B49" s="115" t="s">
        <v>134</v>
      </c>
      <c r="C49" s="115"/>
      <c r="E49" s="138"/>
      <c r="F49" s="123">
        <v>0.02</v>
      </c>
      <c r="G49" s="123">
        <v>0.02</v>
      </c>
      <c r="H49" s="123">
        <v>0.02</v>
      </c>
      <c r="I49" s="123">
        <v>0.02</v>
      </c>
      <c r="J49" s="123">
        <v>0.02</v>
      </c>
    </row>
    <row r="50" spans="2:10" ht="12.9" x14ac:dyDescent="0.35">
      <c r="B50" s="115" t="s">
        <v>135</v>
      </c>
      <c r="C50" s="115"/>
      <c r="E50" s="138"/>
      <c r="F50" s="123">
        <v>1.4999999999999999E-2</v>
      </c>
      <c r="G50" s="123">
        <v>1.4999999999999999E-2</v>
      </c>
      <c r="H50" s="123">
        <v>1.4999999999999999E-2</v>
      </c>
      <c r="I50" s="123">
        <v>1.4999999999999999E-2</v>
      </c>
      <c r="J50" s="123">
        <v>1.4999999999999999E-2</v>
      </c>
    </row>
    <row r="51" spans="2:10" ht="12.9" x14ac:dyDescent="0.35">
      <c r="B51" s="115" t="s">
        <v>136</v>
      </c>
      <c r="C51" s="115"/>
      <c r="E51" s="138"/>
      <c r="F51" s="123">
        <v>2.5000000000000001E-2</v>
      </c>
      <c r="G51" s="123">
        <v>2.5000000000000001E-2</v>
      </c>
      <c r="H51" s="123">
        <v>2.5000000000000001E-2</v>
      </c>
      <c r="I51" s="123">
        <v>2.5000000000000001E-2</v>
      </c>
      <c r="J51" s="123">
        <v>2.5000000000000001E-2</v>
      </c>
    </row>
    <row r="52" spans="2:10" ht="12.9" x14ac:dyDescent="0.35">
      <c r="B52" s="115"/>
      <c r="C52" s="115"/>
      <c r="E52" s="138"/>
      <c r="F52" s="123"/>
      <c r="G52" s="123"/>
      <c r="H52" s="123"/>
      <c r="I52" s="123"/>
      <c r="J52" s="123"/>
    </row>
    <row r="53" spans="2:10" ht="12.9" x14ac:dyDescent="0.35">
      <c r="B53" s="110" t="s">
        <v>192</v>
      </c>
      <c r="C53" s="111"/>
      <c r="D53" s="111"/>
      <c r="E53" s="121"/>
      <c r="F53" s="112"/>
      <c r="G53" s="112"/>
      <c r="H53" s="112"/>
      <c r="I53" s="112"/>
      <c r="J53" s="122"/>
    </row>
    <row r="54" spans="2:10" ht="12.9" x14ac:dyDescent="0.35">
      <c r="B54" s="115" t="s">
        <v>134</v>
      </c>
      <c r="C54" s="115"/>
      <c r="E54" s="138"/>
      <c r="F54" s="123">
        <v>0.02</v>
      </c>
      <c r="G54" s="123">
        <v>0.02</v>
      </c>
      <c r="H54" s="123">
        <v>0.02</v>
      </c>
      <c r="I54" s="123">
        <v>0.02</v>
      </c>
      <c r="J54" s="123">
        <v>0.02</v>
      </c>
    </row>
    <row r="55" spans="2:10" ht="12.9" x14ac:dyDescent="0.35">
      <c r="B55" s="115" t="s">
        <v>135</v>
      </c>
      <c r="C55" s="115"/>
      <c r="E55" s="138"/>
      <c r="F55" s="123">
        <v>2.5000000000000001E-2</v>
      </c>
      <c r="G55" s="123">
        <v>2.5000000000000001E-2</v>
      </c>
      <c r="H55" s="123">
        <v>2.5000000000000001E-2</v>
      </c>
      <c r="I55" s="123">
        <v>2.5000000000000001E-2</v>
      </c>
      <c r="J55" s="123">
        <v>2.5000000000000001E-2</v>
      </c>
    </row>
    <row r="56" spans="2:10" ht="12.9" x14ac:dyDescent="0.35">
      <c r="B56" s="115" t="s">
        <v>136</v>
      </c>
      <c r="C56" s="115"/>
      <c r="E56" s="138"/>
      <c r="F56" s="123">
        <v>1.4999999999999999E-2</v>
      </c>
      <c r="G56" s="123">
        <v>1.4999999999999999E-2</v>
      </c>
      <c r="H56" s="123">
        <v>1.4999999999999999E-2</v>
      </c>
      <c r="I56" s="123">
        <v>1.4999999999999999E-2</v>
      </c>
      <c r="J56" s="123">
        <v>1.4999999999999999E-2</v>
      </c>
    </row>
    <row r="57" spans="2:10" ht="12.9" x14ac:dyDescent="0.35">
      <c r="B57" s="115"/>
      <c r="C57" s="115"/>
      <c r="E57" s="138"/>
      <c r="F57" s="123"/>
      <c r="G57" s="123"/>
      <c r="H57" s="123"/>
      <c r="I57" s="123"/>
      <c r="J57" s="123"/>
    </row>
    <row r="58" spans="2:10" ht="12.9" x14ac:dyDescent="0.35">
      <c r="B58" s="110" t="s">
        <v>193</v>
      </c>
      <c r="C58" s="111"/>
      <c r="D58" s="111"/>
      <c r="E58" s="139"/>
      <c r="F58" s="112"/>
      <c r="G58" s="112"/>
      <c r="H58" s="112"/>
      <c r="I58" s="112"/>
      <c r="J58" s="122"/>
    </row>
    <row r="59" spans="2:10" ht="12.9" x14ac:dyDescent="0.35">
      <c r="B59" s="115" t="s">
        <v>134</v>
      </c>
      <c r="C59" s="115"/>
      <c r="E59" s="2"/>
      <c r="F59" s="123">
        <v>1.4999999999999999E-2</v>
      </c>
      <c r="G59" s="123">
        <v>1.4999999999999999E-2</v>
      </c>
      <c r="H59" s="123">
        <v>1.4999999999999999E-2</v>
      </c>
      <c r="I59" s="123">
        <v>1.4999999999999999E-2</v>
      </c>
      <c r="J59" s="123">
        <v>1.4999999999999999E-2</v>
      </c>
    </row>
    <row r="60" spans="2:10" ht="12.9" x14ac:dyDescent="0.35">
      <c r="B60" s="115" t="s">
        <v>135</v>
      </c>
      <c r="C60" s="115"/>
      <c r="E60" s="2"/>
      <c r="F60" s="123">
        <v>0.01</v>
      </c>
      <c r="G60" s="123">
        <v>0.01</v>
      </c>
      <c r="H60" s="123">
        <v>0.01</v>
      </c>
      <c r="I60" s="123">
        <v>0.01</v>
      </c>
      <c r="J60" s="123">
        <v>0.01</v>
      </c>
    </row>
    <row r="61" spans="2:10" ht="12.9" x14ac:dyDescent="0.35">
      <c r="B61" s="115" t="s">
        <v>136</v>
      </c>
      <c r="C61" s="115"/>
      <c r="E61" s="2"/>
      <c r="F61" s="123">
        <v>0.02</v>
      </c>
      <c r="G61" s="123">
        <v>0.02</v>
      </c>
      <c r="H61" s="123">
        <v>0.02</v>
      </c>
      <c r="I61" s="123">
        <v>0.02</v>
      </c>
      <c r="J61" s="123">
        <v>0.02</v>
      </c>
    </row>
    <row r="62" spans="2:10" ht="12.9" x14ac:dyDescent="0.35">
      <c r="B62" s="115"/>
      <c r="C62" s="115"/>
      <c r="E62" s="2"/>
      <c r="F62" s="123"/>
      <c r="G62" s="123"/>
      <c r="H62" s="123"/>
      <c r="I62" s="123"/>
      <c r="J62" s="123"/>
    </row>
    <row r="63" spans="2:10" ht="12.9" x14ac:dyDescent="0.35">
      <c r="B63" s="110" t="s">
        <v>194</v>
      </c>
      <c r="C63" s="111"/>
      <c r="D63" s="111"/>
      <c r="E63" s="139"/>
      <c r="F63" s="112"/>
      <c r="G63" s="112"/>
      <c r="H63" s="112"/>
      <c r="I63" s="112"/>
      <c r="J63" s="122"/>
    </row>
    <row r="64" spans="2:10" ht="12.9" x14ac:dyDescent="0.35">
      <c r="B64" s="115" t="s">
        <v>134</v>
      </c>
      <c r="C64" s="115"/>
      <c r="E64" s="2"/>
      <c r="F64" s="123">
        <v>1.4999999999999999E-2</v>
      </c>
      <c r="G64" s="123">
        <v>1.4999999999999999E-2</v>
      </c>
      <c r="H64" s="123">
        <v>1.4999999999999999E-2</v>
      </c>
      <c r="I64" s="123">
        <v>1.4999999999999999E-2</v>
      </c>
      <c r="J64" s="123">
        <v>1.4999999999999999E-2</v>
      </c>
    </row>
    <row r="65" spans="2:10" ht="12.9" x14ac:dyDescent="0.35">
      <c r="B65" s="115" t="s">
        <v>135</v>
      </c>
      <c r="C65" s="115"/>
      <c r="E65" s="2"/>
      <c r="F65" s="123">
        <v>0.01</v>
      </c>
      <c r="G65" s="123">
        <v>0.01</v>
      </c>
      <c r="H65" s="123">
        <v>0.01</v>
      </c>
      <c r="I65" s="123">
        <v>0.01</v>
      </c>
      <c r="J65" s="123">
        <v>0.01</v>
      </c>
    </row>
    <row r="66" spans="2:10" ht="12.9" x14ac:dyDescent="0.35">
      <c r="B66" s="115" t="s">
        <v>136</v>
      </c>
      <c r="C66" s="115"/>
      <c r="E66" s="2"/>
      <c r="F66" s="123">
        <v>0.02</v>
      </c>
      <c r="G66" s="123">
        <v>0.02</v>
      </c>
      <c r="H66" s="123">
        <v>0.02</v>
      </c>
      <c r="I66" s="123">
        <v>0.02</v>
      </c>
      <c r="J66" s="123">
        <v>0.02</v>
      </c>
    </row>
    <row r="68" spans="2:10" x14ac:dyDescent="0.3">
      <c r="B68" s="5" t="s">
        <v>296</v>
      </c>
      <c r="C68" s="5"/>
      <c r="D68" s="5"/>
      <c r="E68" s="70">
        <v>2020</v>
      </c>
      <c r="G68" s="5" t="s">
        <v>302</v>
      </c>
      <c r="H68" s="5"/>
      <c r="I68" s="5"/>
      <c r="J68" s="70">
        <v>2020</v>
      </c>
    </row>
    <row r="70" spans="2:10" x14ac:dyDescent="0.3">
      <c r="B70" s="378" t="s">
        <v>115</v>
      </c>
      <c r="C70" s="378"/>
      <c r="D70" s="378"/>
      <c r="E70" s="77">
        <v>100</v>
      </c>
      <c r="G70" t="s">
        <v>127</v>
      </c>
      <c r="J70" s="44">
        <v>250</v>
      </c>
    </row>
    <row r="71" spans="2:10" x14ac:dyDescent="0.3">
      <c r="B71" s="9" t="s">
        <v>117</v>
      </c>
      <c r="C71" s="9"/>
      <c r="D71" s="9"/>
      <c r="E71" s="59">
        <f>+E72-E70</f>
        <v>-70</v>
      </c>
      <c r="G71" t="s">
        <v>130</v>
      </c>
      <c r="J71" s="44">
        <v>50</v>
      </c>
    </row>
    <row r="72" spans="2:10" x14ac:dyDescent="0.3">
      <c r="B72" s="13" t="s">
        <v>118</v>
      </c>
      <c r="C72" s="13"/>
      <c r="D72" s="13"/>
      <c r="E72" s="91">
        <v>30</v>
      </c>
    </row>
    <row r="73" spans="2:10" x14ac:dyDescent="0.3">
      <c r="B73" t="s">
        <v>120</v>
      </c>
      <c r="E73" s="44">
        <v>-10</v>
      </c>
    </row>
    <row r="74" spans="2:10" x14ac:dyDescent="0.3">
      <c r="B74" s="9" t="s">
        <v>121</v>
      </c>
      <c r="C74" s="9"/>
      <c r="D74" s="9"/>
      <c r="E74" s="49">
        <v>-5</v>
      </c>
    </row>
    <row r="75" spans="2:10" x14ac:dyDescent="0.3">
      <c r="B75" s="13" t="s">
        <v>122</v>
      </c>
      <c r="C75" s="13"/>
      <c r="D75" s="13"/>
      <c r="E75" s="60">
        <v>15</v>
      </c>
    </row>
    <row r="77" spans="2:10" x14ac:dyDescent="0.3">
      <c r="B77" s="5" t="s">
        <v>298</v>
      </c>
      <c r="C77" s="5"/>
      <c r="D77" s="5"/>
      <c r="E77" s="5"/>
      <c r="F77" s="90">
        <v>2021</v>
      </c>
      <c r="G77" s="90">
        <f>+F77+1</f>
        <v>2022</v>
      </c>
      <c r="H77" s="90">
        <f>+G77+1</f>
        <v>2023</v>
      </c>
      <c r="I77" s="90">
        <f>+H77+1</f>
        <v>2024</v>
      </c>
      <c r="J77" s="90">
        <f>+I77+1</f>
        <v>2025</v>
      </c>
    </row>
    <row r="79" spans="2:10" ht="12.9" x14ac:dyDescent="0.35">
      <c r="B79" s="110" t="s">
        <v>128</v>
      </c>
      <c r="C79" s="111"/>
      <c r="D79" s="111"/>
      <c r="E79" s="112"/>
      <c r="F79" s="113"/>
      <c r="G79" s="113"/>
      <c r="H79" s="113"/>
      <c r="I79" s="113"/>
      <c r="J79" s="114"/>
    </row>
    <row r="80" spans="2:10" ht="12.9" x14ac:dyDescent="0.35">
      <c r="B80" s="115" t="s">
        <v>134</v>
      </c>
      <c r="F80" s="116">
        <v>15</v>
      </c>
      <c r="G80" s="116">
        <v>15</v>
      </c>
      <c r="H80" s="116">
        <v>15</v>
      </c>
      <c r="I80" s="116">
        <v>15</v>
      </c>
      <c r="J80" s="116">
        <v>15</v>
      </c>
    </row>
    <row r="81" spans="2:10" ht="12.9" x14ac:dyDescent="0.35">
      <c r="B81" s="115" t="s">
        <v>135</v>
      </c>
      <c r="F81" s="116">
        <v>20</v>
      </c>
      <c r="G81" s="116">
        <v>20</v>
      </c>
      <c r="H81" s="116">
        <v>20</v>
      </c>
      <c r="I81" s="116">
        <v>20</v>
      </c>
      <c r="J81" s="116">
        <v>20</v>
      </c>
    </row>
    <row r="82" spans="2:10" ht="12.9" x14ac:dyDescent="0.35">
      <c r="B82" s="115" t="s">
        <v>136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</row>
    <row r="83" spans="2:10" x14ac:dyDescent="0.3">
      <c r="F83" s="45"/>
      <c r="G83" s="45"/>
      <c r="H83" s="45"/>
      <c r="I83" s="45"/>
      <c r="J83" s="45"/>
    </row>
    <row r="84" spans="2:10" ht="12.9" x14ac:dyDescent="0.35">
      <c r="B84" s="110" t="s">
        <v>137</v>
      </c>
      <c r="C84" s="111"/>
      <c r="D84" s="111"/>
      <c r="E84" s="112"/>
      <c r="F84" s="113"/>
      <c r="G84" s="113"/>
      <c r="H84" s="113"/>
      <c r="I84" s="113"/>
      <c r="J84" s="114"/>
    </row>
    <row r="85" spans="2:10" ht="12.9" x14ac:dyDescent="0.35">
      <c r="B85" s="115" t="s">
        <v>134</v>
      </c>
      <c r="F85" s="116">
        <v>15</v>
      </c>
      <c r="G85" s="116">
        <v>15</v>
      </c>
      <c r="H85" s="116">
        <v>15</v>
      </c>
      <c r="I85" s="116">
        <v>15</v>
      </c>
      <c r="J85" s="116">
        <v>15</v>
      </c>
    </row>
    <row r="86" spans="2:10" ht="12.9" x14ac:dyDescent="0.35">
      <c r="B86" s="115" t="s">
        <v>135</v>
      </c>
      <c r="F86" s="116">
        <v>25</v>
      </c>
      <c r="G86" s="116">
        <v>25</v>
      </c>
      <c r="H86" s="116">
        <v>25</v>
      </c>
      <c r="I86" s="116">
        <v>25</v>
      </c>
      <c r="J86" s="116">
        <v>25</v>
      </c>
    </row>
    <row r="87" spans="2:10" ht="12.9" x14ac:dyDescent="0.35">
      <c r="B87" s="115" t="s">
        <v>136</v>
      </c>
      <c r="F87" s="116">
        <v>-5</v>
      </c>
      <c r="G87" s="116">
        <v>-5</v>
      </c>
      <c r="H87" s="116">
        <v>-5</v>
      </c>
      <c r="I87" s="116">
        <v>-5</v>
      </c>
      <c r="J87" s="116">
        <v>-5</v>
      </c>
    </row>
    <row r="88" spans="2:10" x14ac:dyDescent="0.3">
      <c r="E88" s="117"/>
      <c r="F88" s="117"/>
      <c r="G88" s="117"/>
      <c r="H88" s="117"/>
      <c r="I88" s="117"/>
      <c r="J88" s="117"/>
    </row>
    <row r="89" spans="2:10" ht="12.9" x14ac:dyDescent="0.35">
      <c r="B89" s="110" t="s">
        <v>133</v>
      </c>
      <c r="C89" s="111"/>
      <c r="D89" s="111"/>
      <c r="E89" s="112"/>
      <c r="F89" s="118"/>
      <c r="G89" s="118"/>
      <c r="H89" s="118"/>
      <c r="I89" s="118"/>
      <c r="J89" s="119"/>
    </row>
    <row r="90" spans="2:10" ht="12.9" x14ac:dyDescent="0.35">
      <c r="B90" s="115" t="s">
        <v>134</v>
      </c>
      <c r="E90" s="117"/>
      <c r="F90" s="120">
        <v>0.25</v>
      </c>
      <c r="G90" s="120">
        <v>0.25</v>
      </c>
      <c r="H90" s="120">
        <v>0.25</v>
      </c>
      <c r="I90" s="120">
        <v>0.25</v>
      </c>
      <c r="J90" s="120">
        <v>0.25</v>
      </c>
    </row>
    <row r="91" spans="2:10" ht="12.9" x14ac:dyDescent="0.35">
      <c r="B91" s="115" t="s">
        <v>135</v>
      </c>
      <c r="E91" s="117"/>
      <c r="F91" s="120">
        <v>0.5</v>
      </c>
      <c r="G91" s="120">
        <v>0.5</v>
      </c>
      <c r="H91" s="120">
        <v>0.5</v>
      </c>
      <c r="I91" s="120">
        <v>0.5</v>
      </c>
      <c r="J91" s="120">
        <v>0.5</v>
      </c>
    </row>
    <row r="92" spans="2:10" ht="12.9" x14ac:dyDescent="0.35">
      <c r="B92" s="115" t="s">
        <v>136</v>
      </c>
      <c r="E92" s="117"/>
      <c r="F92" s="120">
        <v>-0.1</v>
      </c>
      <c r="G92" s="120">
        <v>-0.1</v>
      </c>
      <c r="H92" s="120">
        <v>-0.1</v>
      </c>
      <c r="I92" s="120">
        <v>-0.1</v>
      </c>
      <c r="J92" s="120">
        <v>-0.1</v>
      </c>
    </row>
    <row r="93" spans="2:10" x14ac:dyDescent="0.3">
      <c r="E93" s="117"/>
      <c r="F93" s="41"/>
      <c r="G93" s="41"/>
      <c r="H93" s="41"/>
      <c r="I93" s="41"/>
      <c r="J93" s="41"/>
    </row>
    <row r="94" spans="2:10" ht="12.9" x14ac:dyDescent="0.35">
      <c r="B94" s="110" t="s">
        <v>119</v>
      </c>
      <c r="C94" s="111"/>
      <c r="D94" s="111"/>
      <c r="E94" s="121"/>
      <c r="F94" s="112"/>
      <c r="G94" s="112"/>
      <c r="H94" s="112"/>
      <c r="I94" s="112"/>
      <c r="J94" s="122"/>
    </row>
    <row r="95" spans="2:10" ht="12.9" x14ac:dyDescent="0.35">
      <c r="B95" s="115" t="s">
        <v>134</v>
      </c>
      <c r="C95" s="115"/>
      <c r="E95" s="117"/>
      <c r="F95" s="123">
        <v>0.3</v>
      </c>
      <c r="G95" s="123">
        <v>0.3</v>
      </c>
      <c r="H95" s="123">
        <v>0.3</v>
      </c>
      <c r="I95" s="123">
        <v>0.3</v>
      </c>
      <c r="J95" s="123">
        <v>0.3</v>
      </c>
    </row>
    <row r="96" spans="2:10" ht="12.9" x14ac:dyDescent="0.35">
      <c r="B96" s="115" t="s">
        <v>135</v>
      </c>
      <c r="C96" s="115"/>
      <c r="E96" s="117"/>
      <c r="F96" s="123">
        <v>0.35</v>
      </c>
      <c r="G96" s="123">
        <v>0.35</v>
      </c>
      <c r="H96" s="123">
        <v>0.35</v>
      </c>
      <c r="I96" s="123">
        <v>0.35</v>
      </c>
      <c r="J96" s="123">
        <v>0.35</v>
      </c>
    </row>
    <row r="97" spans="2:10" ht="12.9" x14ac:dyDescent="0.35">
      <c r="B97" s="115" t="s">
        <v>136</v>
      </c>
      <c r="C97" s="115"/>
      <c r="E97" s="117"/>
      <c r="F97" s="123">
        <v>0.25</v>
      </c>
      <c r="G97" s="123">
        <v>0.25</v>
      </c>
      <c r="H97" s="123">
        <v>0.25</v>
      </c>
      <c r="I97" s="123">
        <v>0.25</v>
      </c>
      <c r="J97" s="123">
        <v>0.25</v>
      </c>
    </row>
    <row r="98" spans="2:10" x14ac:dyDescent="0.3">
      <c r="E98" s="117"/>
      <c r="F98" s="41"/>
      <c r="G98" s="41"/>
      <c r="H98" s="41"/>
      <c r="I98" s="41"/>
      <c r="J98" s="41"/>
    </row>
    <row r="99" spans="2:10" ht="12.9" x14ac:dyDescent="0.35">
      <c r="B99" s="110" t="s">
        <v>138</v>
      </c>
      <c r="C99" s="111"/>
      <c r="D99" s="111"/>
      <c r="E99" s="121"/>
      <c r="F99" s="112"/>
      <c r="G99" s="112"/>
      <c r="H99" s="112"/>
      <c r="I99" s="112"/>
      <c r="J99" s="122"/>
    </row>
    <row r="100" spans="2:10" ht="12.9" x14ac:dyDescent="0.35">
      <c r="B100" s="115" t="s">
        <v>134</v>
      </c>
      <c r="C100" s="115"/>
      <c r="E100" s="117"/>
      <c r="F100" s="123">
        <v>0.1</v>
      </c>
      <c r="G100" s="123">
        <v>0.1</v>
      </c>
      <c r="H100" s="123">
        <v>0.1</v>
      </c>
      <c r="I100" s="123">
        <v>0.1</v>
      </c>
      <c r="J100" s="123">
        <v>0.1</v>
      </c>
    </row>
    <row r="101" spans="2:10" ht="12.9" x14ac:dyDescent="0.35">
      <c r="B101" s="115" t="s">
        <v>135</v>
      </c>
      <c r="C101" s="115"/>
      <c r="E101" s="117"/>
      <c r="F101" s="123">
        <v>7.4999999999999997E-2</v>
      </c>
      <c r="G101" s="123">
        <v>7.4999999999999997E-2</v>
      </c>
      <c r="H101" s="123">
        <v>7.4999999999999997E-2</v>
      </c>
      <c r="I101" s="123">
        <v>7.4999999999999997E-2</v>
      </c>
      <c r="J101" s="123">
        <v>7.4999999999999997E-2</v>
      </c>
    </row>
    <row r="102" spans="2:10" ht="12.9" x14ac:dyDescent="0.35">
      <c r="B102" s="115" t="s">
        <v>136</v>
      </c>
      <c r="C102" s="115"/>
      <c r="E102" s="117"/>
      <c r="F102" s="123">
        <v>0.125</v>
      </c>
      <c r="G102" s="123">
        <v>0.125</v>
      </c>
      <c r="H102" s="123">
        <v>0.125</v>
      </c>
      <c r="I102" s="123">
        <v>0.125</v>
      </c>
      <c r="J102" s="123">
        <v>0.125</v>
      </c>
    </row>
    <row r="103" spans="2:10" x14ac:dyDescent="0.3">
      <c r="B103" s="115"/>
      <c r="C103" s="115"/>
      <c r="E103" s="117"/>
      <c r="F103" s="41"/>
      <c r="G103" s="41"/>
      <c r="H103" s="41"/>
      <c r="I103" s="41"/>
      <c r="J103" s="41"/>
    </row>
    <row r="104" spans="2:10" ht="12.9" x14ac:dyDescent="0.35">
      <c r="B104" s="110" t="s">
        <v>139</v>
      </c>
      <c r="C104" s="111"/>
      <c r="D104" s="111"/>
      <c r="E104" s="112"/>
      <c r="F104" s="112"/>
      <c r="G104" s="112"/>
      <c r="H104" s="112"/>
      <c r="I104" s="112"/>
      <c r="J104" s="122"/>
    </row>
    <row r="105" spans="2:10" ht="12.9" x14ac:dyDescent="0.35">
      <c r="B105" s="115" t="s">
        <v>134</v>
      </c>
      <c r="C105" s="115"/>
      <c r="E105" s="117"/>
      <c r="F105" s="123">
        <v>0.05</v>
      </c>
      <c r="G105" s="123">
        <v>0.05</v>
      </c>
      <c r="H105" s="123">
        <v>0.05</v>
      </c>
      <c r="I105" s="123">
        <v>0.05</v>
      </c>
      <c r="J105" s="123">
        <v>0.05</v>
      </c>
    </row>
    <row r="106" spans="2:10" ht="12.9" x14ac:dyDescent="0.35">
      <c r="B106" s="115" t="s">
        <v>135</v>
      </c>
      <c r="C106" s="115"/>
      <c r="E106" s="117"/>
      <c r="F106" s="123">
        <v>2.5000000000000001E-2</v>
      </c>
      <c r="G106" s="123">
        <v>2.5000000000000001E-2</v>
      </c>
      <c r="H106" s="123">
        <v>2.5000000000000001E-2</v>
      </c>
      <c r="I106" s="123">
        <v>2.5000000000000001E-2</v>
      </c>
      <c r="J106" s="123">
        <v>2.5000000000000001E-2</v>
      </c>
    </row>
    <row r="107" spans="2:10" ht="12.9" x14ac:dyDescent="0.35">
      <c r="B107" s="115" t="s">
        <v>136</v>
      </c>
      <c r="C107" s="115"/>
      <c r="E107" s="117"/>
      <c r="F107" s="123">
        <v>0.01</v>
      </c>
      <c r="G107" s="123">
        <v>0.01</v>
      </c>
      <c r="H107" s="123">
        <v>0.01</v>
      </c>
      <c r="I107" s="123">
        <v>0.01</v>
      </c>
      <c r="J107" s="123">
        <v>0.01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7A30-0755-4F2F-AD0F-248FE8F6F09E}">
  <sheetPr>
    <tabColor theme="7" tint="0.79998168889431442"/>
  </sheetPr>
  <dimension ref="B3:J436"/>
  <sheetViews>
    <sheetView showGridLines="0" zoomScaleNormal="100" workbookViewId="0"/>
  </sheetViews>
  <sheetFormatPr defaultRowHeight="12.45" x14ac:dyDescent="0.3"/>
  <cols>
    <col min="1" max="1" width="1.69140625" bestFit="1" customWidth="1"/>
    <col min="2" max="2" width="20.61328125" customWidth="1"/>
    <col min="3" max="10" width="10.61328125" customWidth="1"/>
  </cols>
  <sheetData>
    <row r="3" spans="2:10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2.9" x14ac:dyDescent="0.35">
      <c r="B4" s="2" t="s">
        <v>1</v>
      </c>
    </row>
    <row r="5" spans="2:10" x14ac:dyDescent="0.3">
      <c r="B5" s="3" t="s">
        <v>2</v>
      </c>
      <c r="C5" s="3"/>
      <c r="D5" s="3"/>
      <c r="E5" s="3"/>
      <c r="F5" s="3"/>
      <c r="G5" s="4"/>
      <c r="H5" s="4"/>
      <c r="I5" s="4"/>
      <c r="J5" s="4"/>
    </row>
    <row r="7" spans="2:10" x14ac:dyDescent="0.3">
      <c r="B7" s="5" t="s">
        <v>3</v>
      </c>
      <c r="C7" s="5"/>
      <c r="D7" s="5"/>
      <c r="E7" s="5"/>
      <c r="G7" s="5" t="s">
        <v>4</v>
      </c>
      <c r="H7" s="5"/>
      <c r="I7" s="5"/>
      <c r="J7" s="5"/>
    </row>
    <row r="8" spans="2:10" x14ac:dyDescent="0.3">
      <c r="B8" t="s">
        <v>5</v>
      </c>
      <c r="E8" s="249"/>
      <c r="G8" t="s">
        <v>6</v>
      </c>
      <c r="J8" s="255"/>
    </row>
    <row r="9" spans="2:10" x14ac:dyDescent="0.3">
      <c r="B9" t="s">
        <v>7</v>
      </c>
      <c r="E9" s="250"/>
      <c r="G9" s="9" t="s">
        <v>8</v>
      </c>
      <c r="H9" s="9"/>
      <c r="I9" s="9"/>
      <c r="J9" s="252"/>
    </row>
    <row r="10" spans="2:10" ht="12.9" x14ac:dyDescent="0.35">
      <c r="B10" s="11" t="s">
        <v>9</v>
      </c>
      <c r="C10" s="11"/>
      <c r="D10" s="11"/>
      <c r="E10" s="251"/>
      <c r="G10" s="13" t="s">
        <v>10</v>
      </c>
      <c r="H10" s="13"/>
      <c r="I10" s="13"/>
      <c r="J10" s="256"/>
    </row>
    <row r="11" spans="2:10" x14ac:dyDescent="0.3">
      <c r="B11" s="9" t="s">
        <v>10</v>
      </c>
      <c r="C11" s="9"/>
      <c r="D11" s="9"/>
      <c r="E11" s="252"/>
    </row>
    <row r="12" spans="2:10" x14ac:dyDescent="0.3">
      <c r="B12" s="15" t="s">
        <v>11</v>
      </c>
      <c r="C12" s="15"/>
      <c r="D12" s="15"/>
      <c r="E12" s="253"/>
      <c r="G12" s="17" t="s">
        <v>12</v>
      </c>
      <c r="H12" s="18" t="s">
        <v>13</v>
      </c>
      <c r="I12" s="18" t="s">
        <v>14</v>
      </c>
      <c r="J12" s="18" t="s">
        <v>15</v>
      </c>
    </row>
    <row r="13" spans="2:10" x14ac:dyDescent="0.3">
      <c r="B13" s="9" t="s">
        <v>16</v>
      </c>
      <c r="C13" s="9"/>
      <c r="D13" s="9"/>
      <c r="E13" s="252"/>
      <c r="G13" s="19">
        <v>1</v>
      </c>
      <c r="H13" s="260"/>
      <c r="I13" s="261"/>
      <c r="J13" s="257"/>
    </row>
    <row r="14" spans="2:10" x14ac:dyDescent="0.3">
      <c r="B14" s="13" t="s">
        <v>17</v>
      </c>
      <c r="C14" s="13"/>
      <c r="D14" s="13"/>
      <c r="E14" s="253"/>
      <c r="G14" s="19">
        <f>+G13+1</f>
        <v>2</v>
      </c>
      <c r="H14" s="260"/>
      <c r="I14" s="261"/>
      <c r="J14" s="257"/>
    </row>
    <row r="15" spans="2:10" x14ac:dyDescent="0.3">
      <c r="B15" s="9" t="s">
        <v>18</v>
      </c>
      <c r="C15" s="9"/>
      <c r="D15" s="9"/>
      <c r="E15" s="252"/>
      <c r="G15" s="23">
        <f>+G14+1</f>
        <v>3</v>
      </c>
      <c r="H15" s="262"/>
      <c r="I15" s="263"/>
      <c r="J15" s="258"/>
    </row>
    <row r="16" spans="2:10" x14ac:dyDescent="0.3">
      <c r="B16" s="13" t="s">
        <v>19</v>
      </c>
      <c r="C16" s="13"/>
      <c r="D16" s="13"/>
      <c r="E16" s="254"/>
      <c r="G16" s="13" t="s">
        <v>20</v>
      </c>
      <c r="H16" s="28"/>
      <c r="I16" s="28"/>
      <c r="J16" s="259"/>
    </row>
    <row r="18" spans="2:10" x14ac:dyDescent="0.3">
      <c r="B18" s="5" t="s">
        <v>21</v>
      </c>
      <c r="C18" s="5"/>
      <c r="D18" s="5"/>
      <c r="E18" s="5"/>
      <c r="G18" s="5" t="s">
        <v>22</v>
      </c>
      <c r="H18" s="5"/>
      <c r="I18" s="5"/>
      <c r="J18" s="5"/>
    </row>
    <row r="19" spans="2:10" x14ac:dyDescent="0.3">
      <c r="B19" t="s">
        <v>23</v>
      </c>
      <c r="E19" s="264"/>
      <c r="G19" t="s">
        <v>24</v>
      </c>
      <c r="J19" s="265"/>
    </row>
    <row r="20" spans="2:10" x14ac:dyDescent="0.3">
      <c r="B20" t="s">
        <v>25</v>
      </c>
      <c r="E20" s="265"/>
      <c r="G20" t="s">
        <v>26</v>
      </c>
      <c r="J20" s="266"/>
    </row>
    <row r="21" spans="2:10" x14ac:dyDescent="0.3">
      <c r="B21" t="s">
        <v>27</v>
      </c>
      <c r="E21" s="265"/>
      <c r="G21" t="s">
        <v>28</v>
      </c>
      <c r="J21" s="267"/>
    </row>
    <row r="22" spans="2:10" x14ac:dyDescent="0.3">
      <c r="B22" t="s">
        <v>29</v>
      </c>
      <c r="E22" s="265"/>
      <c r="G22" t="s">
        <v>30</v>
      </c>
      <c r="J22" s="268"/>
    </row>
    <row r="23" spans="2:10" x14ac:dyDescent="0.3">
      <c r="B23" t="s">
        <v>31</v>
      </c>
      <c r="E23" s="264"/>
      <c r="G23" t="s">
        <v>32</v>
      </c>
      <c r="J23" s="269"/>
    </row>
    <row r="24" spans="2:10" x14ac:dyDescent="0.3">
      <c r="E24" s="30"/>
      <c r="J24" s="36"/>
    </row>
    <row r="25" spans="2:10" x14ac:dyDescent="0.3">
      <c r="B25" s="5" t="s">
        <v>33</v>
      </c>
      <c r="C25" s="5"/>
      <c r="D25" s="5"/>
      <c r="E25" s="5"/>
      <c r="F25" s="5"/>
      <c r="G25" s="5"/>
      <c r="H25" s="5"/>
      <c r="I25" s="5"/>
      <c r="J25" s="5"/>
    </row>
    <row r="26" spans="2:10" x14ac:dyDescent="0.3">
      <c r="B26" s="1" t="s">
        <v>34</v>
      </c>
      <c r="C26" s="1"/>
      <c r="D26" s="37" t="s">
        <v>35</v>
      </c>
      <c r="E26" s="37" t="s">
        <v>36</v>
      </c>
      <c r="F26" s="37" t="s">
        <v>37</v>
      </c>
      <c r="G26" s="38" t="s">
        <v>38</v>
      </c>
      <c r="H26" s="38" t="s">
        <v>39</v>
      </c>
      <c r="I26" s="38" t="s">
        <v>40</v>
      </c>
      <c r="J26" s="38" t="s">
        <v>41</v>
      </c>
    </row>
    <row r="27" spans="2:10" x14ac:dyDescent="0.3">
      <c r="B27" t="s">
        <v>42</v>
      </c>
      <c r="D27" s="270"/>
      <c r="E27" s="271"/>
      <c r="F27" s="272"/>
      <c r="G27" s="272"/>
      <c r="H27" s="273"/>
      <c r="I27" s="274"/>
      <c r="J27" s="274"/>
    </row>
    <row r="28" spans="2:10" x14ac:dyDescent="0.3">
      <c r="B28" t="s">
        <v>43</v>
      </c>
      <c r="D28" s="270"/>
      <c r="E28" s="271"/>
      <c r="F28" s="272"/>
      <c r="G28" s="272"/>
      <c r="H28" s="275"/>
      <c r="I28" s="276"/>
      <c r="J28" s="276"/>
    </row>
    <row r="29" spans="2:10" x14ac:dyDescent="0.3">
      <c r="B29" s="9" t="s">
        <v>44</v>
      </c>
      <c r="C29" s="9"/>
      <c r="D29" s="277"/>
      <c r="E29" s="278"/>
      <c r="F29" s="278"/>
      <c r="G29" s="278"/>
      <c r="H29" s="279"/>
      <c r="I29" s="280"/>
      <c r="J29" s="280"/>
    </row>
    <row r="30" spans="2:10" x14ac:dyDescent="0.3">
      <c r="B30" s="13" t="s">
        <v>45</v>
      </c>
      <c r="D30" s="281"/>
      <c r="E30" s="13"/>
      <c r="F30" s="28"/>
      <c r="J30" s="253"/>
    </row>
    <row r="32" spans="2:10" x14ac:dyDescent="0.3">
      <c r="B32" s="5" t="s">
        <v>46</v>
      </c>
      <c r="C32" s="5"/>
      <c r="D32" s="5"/>
      <c r="E32" s="5"/>
      <c r="G32" s="5" t="s">
        <v>47</v>
      </c>
      <c r="H32" s="5"/>
      <c r="I32" s="5"/>
      <c r="J32" s="5"/>
    </row>
    <row r="33" spans="2:10" x14ac:dyDescent="0.3">
      <c r="B33" t="s">
        <v>48</v>
      </c>
      <c r="E33" s="282"/>
      <c r="G33" t="s">
        <v>49</v>
      </c>
      <c r="J33" s="282"/>
    </row>
    <row r="34" spans="2:10" x14ac:dyDescent="0.3">
      <c r="B34" t="s">
        <v>50</v>
      </c>
      <c r="E34" s="283"/>
      <c r="G34" t="s">
        <v>51</v>
      </c>
      <c r="J34" s="286"/>
    </row>
    <row r="35" spans="2:10" x14ac:dyDescent="0.3">
      <c r="B35" t="s">
        <v>52</v>
      </c>
      <c r="E35" s="284"/>
      <c r="G35" t="s">
        <v>53</v>
      </c>
      <c r="J35" s="285"/>
    </row>
    <row r="36" spans="2:10" x14ac:dyDescent="0.3">
      <c r="B36" t="s">
        <v>54</v>
      </c>
      <c r="E36" s="285"/>
    </row>
    <row r="37" spans="2:10" x14ac:dyDescent="0.3">
      <c r="E37" s="55"/>
      <c r="J37" s="3"/>
    </row>
    <row r="38" spans="2:10" x14ac:dyDescent="0.3">
      <c r="B38" s="3" t="s">
        <v>55</v>
      </c>
      <c r="C38" s="3"/>
      <c r="D38" s="3"/>
      <c r="E38" s="3"/>
      <c r="F38" s="3"/>
      <c r="G38" s="3"/>
      <c r="H38" s="3"/>
      <c r="I38" s="3"/>
      <c r="J38" s="3"/>
    </row>
    <row r="40" spans="2:10" x14ac:dyDescent="0.3">
      <c r="B40" s="5" t="s">
        <v>56</v>
      </c>
      <c r="C40" s="5"/>
      <c r="D40" s="5"/>
      <c r="E40" s="5"/>
      <c r="F40" s="56"/>
      <c r="G40" s="5"/>
      <c r="H40" s="5"/>
      <c r="I40" s="5"/>
      <c r="J40" s="5"/>
    </row>
    <row r="41" spans="2:10" x14ac:dyDescent="0.3">
      <c r="B41" s="1" t="s">
        <v>57</v>
      </c>
      <c r="C41" s="1"/>
      <c r="D41" s="1"/>
      <c r="E41" s="37" t="s">
        <v>58</v>
      </c>
      <c r="G41" s="57" t="s">
        <v>59</v>
      </c>
      <c r="H41" s="1"/>
      <c r="I41" s="1"/>
      <c r="J41" s="37" t="s">
        <v>58</v>
      </c>
    </row>
    <row r="42" spans="2:10" x14ac:dyDescent="0.3">
      <c r="B42" t="s">
        <v>42</v>
      </c>
      <c r="E42" s="287"/>
      <c r="G42" t="s">
        <v>60</v>
      </c>
      <c r="J42" s="287"/>
    </row>
    <row r="43" spans="2:10" x14ac:dyDescent="0.3">
      <c r="B43" s="9" t="s">
        <v>43</v>
      </c>
      <c r="C43" s="9"/>
      <c r="D43" s="9"/>
      <c r="E43" s="288"/>
      <c r="G43" t="s">
        <v>61</v>
      </c>
      <c r="J43" s="276"/>
    </row>
    <row r="44" spans="2:10" x14ac:dyDescent="0.3">
      <c r="B44" s="13" t="s">
        <v>45</v>
      </c>
      <c r="C44" s="13"/>
      <c r="D44" s="13"/>
      <c r="E44" s="253"/>
      <c r="G44" t="s">
        <v>25</v>
      </c>
      <c r="J44" s="276"/>
    </row>
    <row r="45" spans="2:10" x14ac:dyDescent="0.3">
      <c r="B45" t="s">
        <v>62</v>
      </c>
      <c r="E45" s="273"/>
      <c r="G45" t="s">
        <v>63</v>
      </c>
      <c r="J45" s="273"/>
    </row>
    <row r="46" spans="2:10" x14ac:dyDescent="0.3">
      <c r="B46" s="9" t="s">
        <v>64</v>
      </c>
      <c r="C46" s="9"/>
      <c r="D46" s="9"/>
      <c r="E46" s="288"/>
      <c r="G46" s="9" t="s">
        <v>65</v>
      </c>
      <c r="H46" s="9"/>
      <c r="I46" s="9"/>
      <c r="J46" s="288"/>
    </row>
    <row r="47" spans="2:10" x14ac:dyDescent="0.3">
      <c r="B47" s="13" t="s">
        <v>66</v>
      </c>
      <c r="C47" s="13"/>
      <c r="D47" s="13"/>
      <c r="E47" s="253"/>
      <c r="G47" s="13" t="s">
        <v>67</v>
      </c>
      <c r="H47" s="13"/>
      <c r="I47" s="13"/>
      <c r="J47" s="253"/>
    </row>
    <row r="48" spans="2:10" x14ac:dyDescent="0.3">
      <c r="B48" s="9"/>
      <c r="C48" s="9"/>
      <c r="D48" s="9"/>
      <c r="E48" s="9"/>
    </row>
    <row r="49" spans="2:10" ht="12.9" x14ac:dyDescent="0.35">
      <c r="B49" s="13" t="s">
        <v>68</v>
      </c>
      <c r="C49" s="13"/>
      <c r="D49" s="13"/>
      <c r="E49" s="289"/>
      <c r="G49" s="2" t="s">
        <v>69</v>
      </c>
      <c r="H49" s="2"/>
      <c r="I49" s="2"/>
      <c r="J49" s="290"/>
    </row>
    <row r="51" spans="2:10" x14ac:dyDescent="0.3">
      <c r="B51" s="3" t="s">
        <v>70</v>
      </c>
      <c r="C51" s="3"/>
      <c r="D51" s="3"/>
      <c r="E51" s="3"/>
      <c r="F51" s="3"/>
      <c r="G51" s="3"/>
      <c r="H51" s="3"/>
      <c r="I51" s="3"/>
      <c r="J51" s="3"/>
    </row>
    <row r="53" spans="2:10" x14ac:dyDescent="0.3">
      <c r="B53" s="5" t="s">
        <v>71</v>
      </c>
      <c r="C53" s="5"/>
      <c r="D53" s="5"/>
      <c r="E53" s="5"/>
      <c r="G53" s="5" t="s">
        <v>72</v>
      </c>
      <c r="H53" s="5"/>
      <c r="I53" s="5"/>
      <c r="J53" s="5"/>
    </row>
    <row r="54" spans="2:10" x14ac:dyDescent="0.3">
      <c r="B54" s="62" t="s">
        <v>60</v>
      </c>
      <c r="C54" s="62"/>
      <c r="E54" s="287"/>
      <c r="G54" s="62" t="s">
        <v>73</v>
      </c>
      <c r="J54" s="291"/>
    </row>
    <row r="55" spans="2:10" x14ac:dyDescent="0.3">
      <c r="B55" s="62" t="s">
        <v>74</v>
      </c>
      <c r="C55" s="62"/>
      <c r="E55" s="273"/>
      <c r="G55" s="62" t="s">
        <v>75</v>
      </c>
      <c r="J55" s="292"/>
    </row>
    <row r="56" spans="2:10" x14ac:dyDescent="0.3">
      <c r="B56" s="65" t="s">
        <v>76</v>
      </c>
      <c r="C56" s="65"/>
      <c r="D56" s="9"/>
      <c r="E56" s="288"/>
      <c r="G56" s="62" t="s">
        <v>77</v>
      </c>
      <c r="J56" s="274"/>
    </row>
    <row r="57" spans="2:10" x14ac:dyDescent="0.3">
      <c r="B57" s="15" t="s">
        <v>78</v>
      </c>
      <c r="C57" s="15"/>
      <c r="E57" s="253"/>
      <c r="G57" s="62" t="s">
        <v>79</v>
      </c>
      <c r="J57" s="274"/>
    </row>
    <row r="58" spans="2:10" x14ac:dyDescent="0.3">
      <c r="B58" s="62" t="s">
        <v>80</v>
      </c>
      <c r="C58" s="62"/>
      <c r="E58" s="273"/>
      <c r="G58" s="62" t="s">
        <v>81</v>
      </c>
      <c r="J58" s="274"/>
    </row>
    <row r="59" spans="2:10" x14ac:dyDescent="0.3">
      <c r="B59" s="62" t="s">
        <v>82</v>
      </c>
      <c r="C59" s="62"/>
      <c r="E59" s="273"/>
      <c r="G59" s="3"/>
      <c r="H59" s="3"/>
      <c r="I59" s="3"/>
      <c r="J59" s="3"/>
    </row>
    <row r="60" spans="2:10" x14ac:dyDescent="0.3">
      <c r="B60" s="65" t="s">
        <v>83</v>
      </c>
      <c r="C60" s="65"/>
      <c r="D60" s="9"/>
      <c r="E60" s="288"/>
      <c r="G60" s="5" t="s">
        <v>84</v>
      </c>
      <c r="H60" s="5"/>
      <c r="I60" s="5"/>
      <c r="J60" s="5"/>
    </row>
    <row r="61" spans="2:10" x14ac:dyDescent="0.3">
      <c r="B61" s="15" t="s">
        <v>85</v>
      </c>
      <c r="C61" s="15"/>
      <c r="E61" s="253"/>
      <c r="G61" s="62" t="s">
        <v>86</v>
      </c>
      <c r="J61" s="293"/>
    </row>
    <row r="62" spans="2:10" x14ac:dyDescent="0.3">
      <c r="G62" s="62" t="s">
        <v>75</v>
      </c>
      <c r="J62" s="294"/>
    </row>
    <row r="63" spans="2:10" x14ac:dyDescent="0.3">
      <c r="G63" s="62" t="s">
        <v>87</v>
      </c>
      <c r="J63" s="274"/>
    </row>
    <row r="64" spans="2:10" x14ac:dyDescent="0.3">
      <c r="G64" s="62" t="s">
        <v>79</v>
      </c>
      <c r="J64" s="274"/>
    </row>
    <row r="65" spans="2:10" x14ac:dyDescent="0.3">
      <c r="G65" s="62" t="s">
        <v>81</v>
      </c>
      <c r="J65" s="274"/>
    </row>
    <row r="66" spans="2:10" x14ac:dyDescent="0.3">
      <c r="G66" s="62"/>
      <c r="J66" s="43"/>
    </row>
    <row r="67" spans="2:10" x14ac:dyDescent="0.3">
      <c r="B67" s="3" t="s">
        <v>88</v>
      </c>
      <c r="C67" s="3"/>
      <c r="D67" s="3"/>
      <c r="E67" s="3"/>
      <c r="F67" s="3"/>
      <c r="G67" s="68"/>
      <c r="H67" s="3"/>
      <c r="I67" s="3"/>
      <c r="J67" s="69"/>
    </row>
    <row r="69" spans="2:10" x14ac:dyDescent="0.3">
      <c r="B69" s="5" t="s">
        <v>89</v>
      </c>
      <c r="C69" s="5"/>
      <c r="D69" s="5"/>
      <c r="E69" s="5"/>
      <c r="F69" s="5"/>
      <c r="G69" s="70">
        <v>2020</v>
      </c>
      <c r="H69" s="71" t="s">
        <v>90</v>
      </c>
      <c r="I69" s="71"/>
      <c r="J69" s="72">
        <v>2020</v>
      </c>
    </row>
    <row r="70" spans="2:10" x14ac:dyDescent="0.3">
      <c r="G70" s="62"/>
      <c r="H70" s="73" t="s">
        <v>91</v>
      </c>
      <c r="I70" s="74" t="s">
        <v>92</v>
      </c>
    </row>
    <row r="71" spans="2:10" x14ac:dyDescent="0.3">
      <c r="G71" s="62"/>
      <c r="H71" s="75"/>
      <c r="I71" s="76"/>
    </row>
    <row r="72" spans="2:10" x14ac:dyDescent="0.3">
      <c r="B72" t="s">
        <v>93</v>
      </c>
      <c r="G72" s="299"/>
      <c r="H72" s="295"/>
      <c r="I72" s="296"/>
      <c r="J72" s="287"/>
    </row>
    <row r="73" spans="2:10" x14ac:dyDescent="0.3">
      <c r="B73" t="s">
        <v>94</v>
      </c>
      <c r="G73" s="275"/>
      <c r="H73" s="78"/>
      <c r="I73" s="79"/>
      <c r="J73" s="273"/>
    </row>
    <row r="74" spans="2:10" x14ac:dyDescent="0.3">
      <c r="B74" t="s">
        <v>95</v>
      </c>
      <c r="G74" s="275"/>
      <c r="H74" s="78"/>
      <c r="I74" s="79"/>
      <c r="J74" s="273"/>
    </row>
    <row r="75" spans="2:10" x14ac:dyDescent="0.3">
      <c r="B75" s="9" t="s">
        <v>96</v>
      </c>
      <c r="C75" s="9"/>
      <c r="D75" s="9"/>
      <c r="E75" s="9"/>
      <c r="F75" s="9"/>
      <c r="G75" s="280"/>
      <c r="H75" s="80"/>
      <c r="I75" s="81"/>
      <c r="J75" s="288"/>
    </row>
    <row r="76" spans="2:10" x14ac:dyDescent="0.3">
      <c r="B76" s="13" t="s">
        <v>97</v>
      </c>
      <c r="G76" s="253"/>
      <c r="H76" s="82"/>
      <c r="I76" s="83"/>
      <c r="J76" s="253"/>
    </row>
    <row r="77" spans="2:10" x14ac:dyDescent="0.3">
      <c r="B77" s="13"/>
      <c r="G77" s="14"/>
      <c r="H77" s="82"/>
      <c r="I77" s="83"/>
      <c r="J77" s="14"/>
    </row>
    <row r="78" spans="2:10" x14ac:dyDescent="0.3">
      <c r="B78" t="s">
        <v>98</v>
      </c>
      <c r="G78" s="299"/>
      <c r="H78" s="295"/>
      <c r="I78" s="79"/>
      <c r="J78" s="287"/>
    </row>
    <row r="79" spans="2:10" x14ac:dyDescent="0.3">
      <c r="B79" t="s">
        <v>99</v>
      </c>
      <c r="G79" s="275"/>
      <c r="H79" s="295"/>
      <c r="I79" s="296"/>
      <c r="J79" s="273"/>
    </row>
    <row r="80" spans="2:10" x14ac:dyDescent="0.3">
      <c r="B80" s="9" t="s">
        <v>100</v>
      </c>
      <c r="C80" s="9"/>
      <c r="D80" s="9"/>
      <c r="E80" s="9"/>
      <c r="F80" s="9"/>
      <c r="G80" s="280"/>
      <c r="H80" s="297"/>
      <c r="I80" s="81"/>
      <c r="J80" s="288"/>
    </row>
    <row r="81" spans="2:10" x14ac:dyDescent="0.3">
      <c r="B81" s="13" t="s">
        <v>101</v>
      </c>
      <c r="G81" s="253"/>
      <c r="H81" s="82"/>
      <c r="I81" s="83"/>
      <c r="J81" s="253"/>
    </row>
    <row r="82" spans="2:10" x14ac:dyDescent="0.3">
      <c r="G82" s="45"/>
      <c r="H82" s="84"/>
      <c r="I82" s="85"/>
      <c r="J82" s="45"/>
    </row>
    <row r="83" spans="2:10" x14ac:dyDescent="0.3">
      <c r="B83" t="s">
        <v>42</v>
      </c>
      <c r="G83" s="299"/>
      <c r="H83" s="78"/>
      <c r="I83" s="296"/>
      <c r="J83" s="287"/>
    </row>
    <row r="84" spans="2:10" x14ac:dyDescent="0.3">
      <c r="B84" t="s">
        <v>102</v>
      </c>
      <c r="G84" s="275"/>
      <c r="H84" s="78"/>
      <c r="I84" s="79"/>
      <c r="J84" s="273"/>
    </row>
    <row r="85" spans="2:10" x14ac:dyDescent="0.3">
      <c r="B85" t="s">
        <v>103</v>
      </c>
      <c r="G85" s="275"/>
      <c r="H85" s="78"/>
      <c r="I85" s="79"/>
      <c r="J85" s="273"/>
    </row>
    <row r="86" spans="2:10" x14ac:dyDescent="0.3">
      <c r="B86" s="9" t="s">
        <v>104</v>
      </c>
      <c r="C86" s="9"/>
      <c r="D86" s="9"/>
      <c r="E86" s="9"/>
      <c r="F86" s="9"/>
      <c r="G86" s="280"/>
      <c r="H86" s="80"/>
      <c r="I86" s="81"/>
      <c r="J86" s="288"/>
    </row>
    <row r="87" spans="2:10" x14ac:dyDescent="0.3">
      <c r="B87" s="13" t="s">
        <v>105</v>
      </c>
      <c r="G87" s="253"/>
      <c r="H87" s="82"/>
      <c r="I87" s="83"/>
      <c r="J87" s="253"/>
    </row>
    <row r="88" spans="2:10" x14ac:dyDescent="0.3">
      <c r="B88" s="13"/>
      <c r="G88" s="14"/>
      <c r="H88" s="82"/>
      <c r="I88" s="83"/>
      <c r="J88" s="14"/>
    </row>
    <row r="89" spans="2:10" x14ac:dyDescent="0.3">
      <c r="B89" t="s">
        <v>106</v>
      </c>
      <c r="G89" s="299"/>
      <c r="H89" s="295"/>
      <c r="I89" s="79"/>
      <c r="J89" s="287"/>
    </row>
    <row r="90" spans="2:10" x14ac:dyDescent="0.3">
      <c r="B90" t="s">
        <v>43</v>
      </c>
      <c r="G90" s="275"/>
      <c r="H90" s="78"/>
      <c r="I90" s="296"/>
      <c r="J90" s="273"/>
    </row>
    <row r="91" spans="2:10" x14ac:dyDescent="0.3">
      <c r="B91" t="s">
        <v>107</v>
      </c>
      <c r="G91" s="275"/>
      <c r="H91" s="295"/>
      <c r="I91" s="79"/>
      <c r="J91" s="273"/>
    </row>
    <row r="92" spans="2:10" x14ac:dyDescent="0.3">
      <c r="B92" s="9" t="s">
        <v>108</v>
      </c>
      <c r="C92" s="9"/>
      <c r="D92" s="9"/>
      <c r="E92" s="9"/>
      <c r="F92" s="9"/>
      <c r="G92" s="280"/>
      <c r="H92" s="80"/>
      <c r="I92" s="298"/>
      <c r="J92" s="288"/>
    </row>
    <row r="93" spans="2:10" x14ac:dyDescent="0.3">
      <c r="B93" s="13" t="s">
        <v>109</v>
      </c>
      <c r="G93" s="253"/>
      <c r="H93" s="82"/>
      <c r="I93" s="83"/>
      <c r="J93" s="253"/>
    </row>
    <row r="94" spans="2:10" x14ac:dyDescent="0.3">
      <c r="B94" s="13"/>
      <c r="G94" s="14"/>
      <c r="H94" s="82"/>
      <c r="I94" s="83"/>
      <c r="J94" s="14"/>
    </row>
    <row r="95" spans="2:10" x14ac:dyDescent="0.3">
      <c r="B95" s="9" t="s">
        <v>110</v>
      </c>
      <c r="C95" s="9"/>
      <c r="D95" s="9"/>
      <c r="E95" s="9"/>
      <c r="F95" s="9"/>
      <c r="G95" s="280"/>
      <c r="H95" s="297"/>
      <c r="I95" s="298"/>
      <c r="J95" s="288"/>
    </row>
    <row r="96" spans="2:10" x14ac:dyDescent="0.3">
      <c r="B96" s="13" t="s">
        <v>111</v>
      </c>
      <c r="G96" s="253"/>
      <c r="H96" s="86"/>
      <c r="I96" s="87"/>
      <c r="J96" s="253"/>
    </row>
    <row r="97" spans="2:10" x14ac:dyDescent="0.3">
      <c r="G97" s="45"/>
      <c r="H97" s="45"/>
      <c r="I97" s="45"/>
      <c r="J97" s="45"/>
    </row>
    <row r="98" spans="2:10" ht="12.9" x14ac:dyDescent="0.35">
      <c r="B98" s="2" t="s">
        <v>112</v>
      </c>
      <c r="G98" s="273"/>
      <c r="H98" s="61"/>
      <c r="I98" s="61"/>
      <c r="J98" s="273"/>
    </row>
    <row r="99" spans="2:10" ht="12.9" x14ac:dyDescent="0.35">
      <c r="B99" s="2"/>
      <c r="G99" s="42"/>
      <c r="H99" s="61"/>
      <c r="I99" s="61"/>
      <c r="J99" s="42"/>
    </row>
    <row r="100" spans="2:10" ht="12.9" x14ac:dyDescent="0.35">
      <c r="B100" s="3" t="s">
        <v>113</v>
      </c>
      <c r="C100" s="4"/>
      <c r="D100" s="4"/>
      <c r="E100" s="4"/>
      <c r="F100" s="4"/>
      <c r="G100" s="88"/>
      <c r="H100" s="89"/>
      <c r="I100" s="89"/>
      <c r="J100" s="88"/>
    </row>
    <row r="102" spans="2:10" x14ac:dyDescent="0.3">
      <c r="B102" s="5" t="s">
        <v>114</v>
      </c>
      <c r="C102" s="5"/>
      <c r="D102" s="5"/>
      <c r="E102" s="70">
        <v>2020</v>
      </c>
      <c r="F102" s="90">
        <f>+E102+1</f>
        <v>2021</v>
      </c>
      <c r="G102" s="90">
        <f>+F102+1</f>
        <v>2022</v>
      </c>
      <c r="H102" s="90">
        <f>+G102+1</f>
        <v>2023</v>
      </c>
      <c r="I102" s="90">
        <f>+H102+1</f>
        <v>2024</v>
      </c>
      <c r="J102" s="90">
        <f>+I102+1</f>
        <v>2025</v>
      </c>
    </row>
    <row r="104" spans="2:10" x14ac:dyDescent="0.3">
      <c r="B104" s="13" t="s">
        <v>115</v>
      </c>
      <c r="E104" s="305"/>
      <c r="F104" s="274"/>
      <c r="G104" s="274"/>
      <c r="H104" s="274"/>
      <c r="I104" s="274"/>
      <c r="J104" s="274"/>
    </row>
    <row r="105" spans="2:10" ht="12.9" x14ac:dyDescent="0.35">
      <c r="B105" s="11" t="s">
        <v>116</v>
      </c>
      <c r="C105" s="2"/>
      <c r="D105" s="2"/>
      <c r="E105" s="306"/>
      <c r="F105" s="306"/>
      <c r="G105" s="306"/>
      <c r="H105" s="306"/>
      <c r="I105" s="306"/>
      <c r="J105" s="306"/>
    </row>
    <row r="106" spans="2:10" ht="12.9" x14ac:dyDescent="0.35">
      <c r="B106" s="11"/>
      <c r="C106" s="2"/>
      <c r="D106" s="2"/>
      <c r="E106" s="92"/>
      <c r="F106" s="93"/>
      <c r="G106" s="93"/>
      <c r="H106" s="93"/>
      <c r="I106" s="93"/>
      <c r="J106" s="93"/>
    </row>
    <row r="107" spans="2:10" x14ac:dyDescent="0.3">
      <c r="B107" s="9" t="s">
        <v>117</v>
      </c>
      <c r="C107" s="9"/>
      <c r="D107" s="9"/>
      <c r="E107" s="288"/>
      <c r="F107" s="307"/>
      <c r="G107" s="307"/>
      <c r="H107" s="307"/>
      <c r="I107" s="307"/>
      <c r="J107" s="307"/>
    </row>
    <row r="108" spans="2:10" x14ac:dyDescent="0.3">
      <c r="B108" s="13" t="s">
        <v>118</v>
      </c>
      <c r="C108" s="13"/>
      <c r="D108" s="13"/>
      <c r="E108" s="305"/>
      <c r="F108" s="289"/>
      <c r="G108" s="289"/>
      <c r="H108" s="289"/>
      <c r="I108" s="289"/>
      <c r="J108" s="289"/>
    </row>
    <row r="109" spans="2:10" ht="12.9" x14ac:dyDescent="0.35">
      <c r="B109" s="11" t="s">
        <v>119</v>
      </c>
      <c r="C109" s="2"/>
      <c r="D109" s="2"/>
      <c r="E109" s="308"/>
      <c r="F109" s="308"/>
      <c r="G109" s="308"/>
      <c r="H109" s="308"/>
      <c r="I109" s="308"/>
      <c r="J109" s="308"/>
    </row>
    <row r="110" spans="2:10" ht="12.9" x14ac:dyDescent="0.35">
      <c r="B110" s="11"/>
      <c r="C110" s="2"/>
      <c r="D110" s="2"/>
      <c r="E110" s="93"/>
      <c r="F110" s="93"/>
      <c r="G110" s="93"/>
      <c r="H110" s="93"/>
      <c r="I110" s="93"/>
      <c r="J110" s="93"/>
    </row>
    <row r="111" spans="2:10" x14ac:dyDescent="0.3">
      <c r="B111" t="s">
        <v>120</v>
      </c>
      <c r="E111" s="275"/>
      <c r="F111" s="276"/>
      <c r="G111" s="276"/>
      <c r="H111" s="276"/>
      <c r="I111" s="276"/>
      <c r="J111" s="276"/>
    </row>
    <row r="112" spans="2:10" x14ac:dyDescent="0.3">
      <c r="B112" s="9" t="s">
        <v>121</v>
      </c>
      <c r="C112" s="9"/>
      <c r="D112" s="9"/>
      <c r="E112" s="280"/>
      <c r="F112" s="307"/>
      <c r="G112" s="307"/>
      <c r="H112" s="307"/>
      <c r="I112" s="307"/>
      <c r="J112" s="307"/>
    </row>
    <row r="113" spans="2:10" x14ac:dyDescent="0.3">
      <c r="B113" s="13" t="s">
        <v>122</v>
      </c>
      <c r="C113" s="13"/>
      <c r="D113" s="13"/>
      <c r="E113" s="289"/>
      <c r="F113" s="289"/>
      <c r="G113" s="289"/>
      <c r="H113" s="289"/>
      <c r="I113" s="289"/>
      <c r="J113" s="289"/>
    </row>
    <row r="114" spans="2:10" ht="12.9" x14ac:dyDescent="0.35">
      <c r="B114" s="11" t="s">
        <v>123</v>
      </c>
      <c r="C114" s="2"/>
      <c r="D114" s="2"/>
      <c r="E114" s="308"/>
      <c r="F114" s="308"/>
      <c r="G114" s="308"/>
      <c r="H114" s="308"/>
      <c r="I114" s="308"/>
      <c r="J114" s="308"/>
    </row>
    <row r="115" spans="2:10" ht="12.9" x14ac:dyDescent="0.35">
      <c r="B115" s="13"/>
      <c r="C115" s="2"/>
      <c r="D115" s="95"/>
      <c r="E115" s="92"/>
      <c r="F115" s="93"/>
      <c r="G115" s="93"/>
      <c r="H115" s="93"/>
      <c r="I115" s="93"/>
      <c r="J115" s="93"/>
    </row>
    <row r="116" spans="2:10" ht="12.9" x14ac:dyDescent="0.35">
      <c r="B116" t="s">
        <v>124</v>
      </c>
      <c r="D116" s="309"/>
      <c r="E116" s="2"/>
      <c r="F116" s="93"/>
      <c r="G116" s="93"/>
      <c r="H116" s="93"/>
      <c r="I116" s="93"/>
      <c r="J116" s="93"/>
    </row>
    <row r="117" spans="2:10" ht="12.9" x14ac:dyDescent="0.35">
      <c r="B117" t="s">
        <v>125</v>
      </c>
      <c r="D117" s="310"/>
      <c r="E117" s="2"/>
      <c r="F117" s="93"/>
      <c r="G117" s="93"/>
      <c r="H117" s="93"/>
      <c r="I117" s="93"/>
      <c r="J117" s="93"/>
    </row>
    <row r="118" spans="2:10" ht="12.9" x14ac:dyDescent="0.35">
      <c r="D118" s="97"/>
      <c r="E118" s="2"/>
      <c r="F118" s="93"/>
      <c r="G118" s="93"/>
      <c r="H118" s="93"/>
      <c r="I118" s="93"/>
      <c r="J118" s="93"/>
    </row>
    <row r="119" spans="2:10" x14ac:dyDescent="0.3">
      <c r="B119" s="98" t="s">
        <v>126</v>
      </c>
      <c r="C119" s="98"/>
      <c r="D119" s="99"/>
      <c r="E119" s="100"/>
      <c r="F119" s="101"/>
      <c r="G119" s="101"/>
      <c r="H119" s="101"/>
      <c r="I119" s="101"/>
      <c r="J119" s="101"/>
    </row>
    <row r="120" spans="2:10" x14ac:dyDescent="0.3">
      <c r="B120" s="102"/>
      <c r="C120" s="102"/>
      <c r="E120" s="91"/>
      <c r="F120" s="60"/>
      <c r="G120" s="60"/>
      <c r="H120" s="60"/>
      <c r="I120" s="60"/>
      <c r="J120" s="60"/>
    </row>
    <row r="121" spans="2:10" x14ac:dyDescent="0.3">
      <c r="B121" t="s">
        <v>127</v>
      </c>
      <c r="E121" s="275"/>
      <c r="F121" s="276"/>
      <c r="G121" s="276"/>
      <c r="H121" s="276"/>
      <c r="I121" s="276"/>
      <c r="J121" s="276"/>
    </row>
    <row r="122" spans="2:10" ht="12.9" x14ac:dyDescent="0.35">
      <c r="B122" s="11" t="s">
        <v>128</v>
      </c>
      <c r="C122" s="2"/>
      <c r="E122" s="311"/>
      <c r="F122" s="312"/>
      <c r="G122" s="312"/>
      <c r="H122" s="312"/>
      <c r="I122" s="312"/>
      <c r="J122" s="312"/>
    </row>
    <row r="123" spans="2:10" ht="12.9" x14ac:dyDescent="0.35">
      <c r="B123" s="11"/>
      <c r="C123" s="2"/>
      <c r="E123" s="92"/>
      <c r="F123" s="93"/>
      <c r="G123" s="93"/>
      <c r="H123" s="93"/>
      <c r="I123" s="93"/>
      <c r="J123" s="93"/>
    </row>
    <row r="124" spans="2:10" x14ac:dyDescent="0.3">
      <c r="B124" t="s">
        <v>129</v>
      </c>
      <c r="E124" s="313"/>
      <c r="F124" s="313"/>
      <c r="G124" s="313"/>
      <c r="H124" s="313"/>
      <c r="I124" s="313"/>
      <c r="J124" s="313"/>
    </row>
    <row r="125" spans="2:10" ht="12.9" x14ac:dyDescent="0.35">
      <c r="B125" s="11" t="s">
        <v>116</v>
      </c>
      <c r="C125" s="2"/>
      <c r="E125" s="306"/>
      <c r="F125" s="306"/>
      <c r="G125" s="308"/>
      <c r="H125" s="308"/>
      <c r="I125" s="308"/>
      <c r="J125" s="308"/>
    </row>
    <row r="126" spans="2:10" ht="12.9" x14ac:dyDescent="0.35">
      <c r="B126" s="11"/>
      <c r="C126" s="2"/>
      <c r="E126" s="106"/>
      <c r="F126" s="93"/>
      <c r="G126" s="93"/>
      <c r="H126" s="93"/>
      <c r="I126" s="93"/>
      <c r="J126" s="93"/>
    </row>
    <row r="127" spans="2:10" x14ac:dyDescent="0.3">
      <c r="B127" t="s">
        <v>130</v>
      </c>
      <c r="E127" s="275"/>
      <c r="F127" s="276"/>
      <c r="G127" s="276"/>
      <c r="H127" s="276"/>
      <c r="I127" s="276"/>
      <c r="J127" s="276"/>
    </row>
    <row r="128" spans="2:10" ht="12.9" x14ac:dyDescent="0.35">
      <c r="B128" s="11" t="s">
        <v>131</v>
      </c>
      <c r="C128" s="2"/>
      <c r="D128" s="2"/>
      <c r="E128" s="314"/>
      <c r="F128" s="312"/>
      <c r="G128" s="312"/>
      <c r="H128" s="312"/>
      <c r="I128" s="312"/>
      <c r="J128" s="312"/>
    </row>
    <row r="129" spans="2:10" x14ac:dyDescent="0.3">
      <c r="E129" s="108"/>
    </row>
    <row r="130" spans="2:10" x14ac:dyDescent="0.3">
      <c r="B130" t="s">
        <v>132</v>
      </c>
      <c r="E130" s="313"/>
      <c r="F130" s="313"/>
      <c r="G130" s="313"/>
      <c r="H130" s="313"/>
      <c r="I130" s="313"/>
      <c r="J130" s="313"/>
    </row>
    <row r="131" spans="2:10" ht="12.9" x14ac:dyDescent="0.35">
      <c r="B131" s="11" t="s">
        <v>133</v>
      </c>
      <c r="C131" s="2"/>
      <c r="D131" s="2"/>
      <c r="E131" s="315"/>
      <c r="F131" s="315"/>
      <c r="G131" s="315"/>
      <c r="H131" s="315"/>
      <c r="I131" s="315"/>
      <c r="J131" s="315"/>
    </row>
    <row r="133" spans="2:10" ht="12.9" x14ac:dyDescent="0.35">
      <c r="B133" s="110" t="s">
        <v>128</v>
      </c>
      <c r="C133" s="111"/>
      <c r="D133" s="111"/>
      <c r="E133" s="316"/>
      <c r="F133" s="317"/>
      <c r="G133" s="317"/>
      <c r="H133" s="317"/>
      <c r="I133" s="317"/>
      <c r="J133" s="318"/>
    </row>
    <row r="134" spans="2:10" ht="12.9" x14ac:dyDescent="0.35">
      <c r="B134" s="115" t="s">
        <v>134</v>
      </c>
      <c r="F134" s="319"/>
      <c r="G134" s="319"/>
      <c r="H134" s="319"/>
      <c r="I134" s="319"/>
      <c r="J134" s="319"/>
    </row>
    <row r="135" spans="2:10" ht="12.9" x14ac:dyDescent="0.35">
      <c r="B135" s="115" t="s">
        <v>135</v>
      </c>
      <c r="F135" s="319"/>
      <c r="G135" s="319"/>
      <c r="H135" s="319"/>
      <c r="I135" s="319"/>
      <c r="J135" s="319"/>
    </row>
    <row r="136" spans="2:10" ht="12.9" x14ac:dyDescent="0.35">
      <c r="B136" s="115" t="s">
        <v>136</v>
      </c>
      <c r="F136" s="319"/>
      <c r="G136" s="319"/>
      <c r="H136" s="319"/>
      <c r="I136" s="319"/>
      <c r="J136" s="319"/>
    </row>
    <row r="137" spans="2:10" x14ac:dyDescent="0.3">
      <c r="F137" s="45"/>
      <c r="G137" s="45"/>
      <c r="H137" s="45"/>
      <c r="I137" s="45"/>
      <c r="J137" s="45"/>
    </row>
    <row r="138" spans="2:10" ht="12.9" x14ac:dyDescent="0.35">
      <c r="B138" s="110" t="s">
        <v>137</v>
      </c>
      <c r="C138" s="111"/>
      <c r="D138" s="111"/>
      <c r="E138" s="316"/>
      <c r="F138" s="317"/>
      <c r="G138" s="317"/>
      <c r="H138" s="317"/>
      <c r="I138" s="317"/>
      <c r="J138" s="318"/>
    </row>
    <row r="139" spans="2:10" ht="12.9" x14ac:dyDescent="0.35">
      <c r="B139" s="115" t="s">
        <v>134</v>
      </c>
      <c r="F139" s="319"/>
      <c r="G139" s="319"/>
      <c r="H139" s="319"/>
      <c r="I139" s="319"/>
      <c r="J139" s="319"/>
    </row>
    <row r="140" spans="2:10" ht="12.9" x14ac:dyDescent="0.35">
      <c r="B140" s="115" t="s">
        <v>135</v>
      </c>
      <c r="F140" s="319"/>
      <c r="G140" s="319"/>
      <c r="H140" s="319"/>
      <c r="I140" s="319"/>
      <c r="J140" s="319"/>
    </row>
    <row r="141" spans="2:10" ht="12.9" x14ac:dyDescent="0.35">
      <c r="B141" s="115" t="s">
        <v>136</v>
      </c>
      <c r="F141" s="319"/>
      <c r="G141" s="319"/>
      <c r="H141" s="319"/>
      <c r="I141" s="319"/>
      <c r="J141" s="319"/>
    </row>
    <row r="142" spans="2:10" x14ac:dyDescent="0.3">
      <c r="E142" s="117"/>
      <c r="F142" s="117"/>
      <c r="G142" s="117"/>
      <c r="H142" s="117"/>
      <c r="I142" s="117"/>
      <c r="J142" s="117"/>
    </row>
    <row r="143" spans="2:10" ht="12.9" x14ac:dyDescent="0.35">
      <c r="B143" s="110" t="s">
        <v>133</v>
      </c>
      <c r="C143" s="111"/>
      <c r="D143" s="111"/>
      <c r="E143" s="316"/>
      <c r="F143" s="320"/>
      <c r="G143" s="320"/>
      <c r="H143" s="320"/>
      <c r="I143" s="320"/>
      <c r="J143" s="321"/>
    </row>
    <row r="144" spans="2:10" ht="12.9" x14ac:dyDescent="0.35">
      <c r="B144" s="115" t="s">
        <v>134</v>
      </c>
      <c r="E144" s="117"/>
      <c r="F144" s="322"/>
      <c r="G144" s="322"/>
      <c r="H144" s="322"/>
      <c r="I144" s="322"/>
      <c r="J144" s="322"/>
    </row>
    <row r="145" spans="2:10" ht="12.9" x14ac:dyDescent="0.35">
      <c r="B145" s="115" t="s">
        <v>135</v>
      </c>
      <c r="E145" s="117"/>
      <c r="F145" s="322"/>
      <c r="G145" s="322"/>
      <c r="H145" s="322"/>
      <c r="I145" s="322"/>
      <c r="J145" s="322"/>
    </row>
    <row r="146" spans="2:10" ht="12.9" x14ac:dyDescent="0.35">
      <c r="B146" s="115" t="s">
        <v>136</v>
      </c>
      <c r="E146" s="117"/>
      <c r="F146" s="322"/>
      <c r="G146" s="322"/>
      <c r="H146" s="322"/>
      <c r="I146" s="322"/>
      <c r="J146" s="322"/>
    </row>
    <row r="147" spans="2:10" x14ac:dyDescent="0.3">
      <c r="E147" s="117"/>
      <c r="F147" s="41"/>
      <c r="G147" s="41"/>
      <c r="H147" s="41"/>
      <c r="I147" s="41"/>
      <c r="J147" s="41"/>
    </row>
    <row r="148" spans="2:10" ht="12.9" x14ac:dyDescent="0.35">
      <c r="B148" s="110" t="s">
        <v>119</v>
      </c>
      <c r="C148" s="111"/>
      <c r="D148" s="111"/>
      <c r="E148" s="323"/>
      <c r="F148" s="316"/>
      <c r="G148" s="316"/>
      <c r="H148" s="316"/>
      <c r="I148" s="316"/>
      <c r="J148" s="324"/>
    </row>
    <row r="149" spans="2:10" ht="12.9" x14ac:dyDescent="0.35">
      <c r="B149" s="115" t="s">
        <v>134</v>
      </c>
      <c r="C149" s="115"/>
      <c r="E149" s="117"/>
      <c r="F149" s="325"/>
      <c r="G149" s="325"/>
      <c r="H149" s="325"/>
      <c r="I149" s="325"/>
      <c r="J149" s="325"/>
    </row>
    <row r="150" spans="2:10" ht="12.9" x14ac:dyDescent="0.35">
      <c r="B150" s="115" t="s">
        <v>135</v>
      </c>
      <c r="C150" s="115"/>
      <c r="E150" s="117"/>
      <c r="F150" s="325"/>
      <c r="G150" s="325"/>
      <c r="H150" s="325"/>
      <c r="I150" s="325"/>
      <c r="J150" s="325"/>
    </row>
    <row r="151" spans="2:10" ht="12.9" x14ac:dyDescent="0.35">
      <c r="B151" s="115" t="s">
        <v>136</v>
      </c>
      <c r="C151" s="115"/>
      <c r="E151" s="117"/>
      <c r="F151" s="325"/>
      <c r="G151" s="325"/>
      <c r="H151" s="325"/>
      <c r="I151" s="325"/>
      <c r="J151" s="325"/>
    </row>
    <row r="152" spans="2:10" x14ac:dyDescent="0.3">
      <c r="E152" s="117"/>
      <c r="F152" s="41"/>
      <c r="G152" s="41"/>
      <c r="H152" s="41"/>
      <c r="I152" s="41"/>
      <c r="J152" s="41"/>
    </row>
    <row r="153" spans="2:10" ht="12.9" x14ac:dyDescent="0.35">
      <c r="B153" s="110" t="s">
        <v>138</v>
      </c>
      <c r="C153" s="111"/>
      <c r="D153" s="111"/>
      <c r="E153" s="323"/>
      <c r="F153" s="316"/>
      <c r="G153" s="316"/>
      <c r="H153" s="316"/>
      <c r="I153" s="316"/>
      <c r="J153" s="324"/>
    </row>
    <row r="154" spans="2:10" ht="12.9" x14ac:dyDescent="0.35">
      <c r="B154" s="115" t="s">
        <v>134</v>
      </c>
      <c r="C154" s="115"/>
      <c r="E154" s="117"/>
      <c r="F154" s="325"/>
      <c r="G154" s="325"/>
      <c r="H154" s="325"/>
      <c r="I154" s="325"/>
      <c r="J154" s="325"/>
    </row>
    <row r="155" spans="2:10" ht="12.9" x14ac:dyDescent="0.35">
      <c r="B155" s="115" t="s">
        <v>135</v>
      </c>
      <c r="C155" s="115"/>
      <c r="E155" s="117"/>
      <c r="F155" s="325"/>
      <c r="G155" s="325"/>
      <c r="H155" s="325"/>
      <c r="I155" s="325"/>
      <c r="J155" s="325"/>
    </row>
    <row r="156" spans="2:10" ht="12.9" x14ac:dyDescent="0.35">
      <c r="B156" s="115" t="s">
        <v>136</v>
      </c>
      <c r="C156" s="115"/>
      <c r="E156" s="117"/>
      <c r="F156" s="325"/>
      <c r="G156" s="325"/>
      <c r="H156" s="325"/>
      <c r="I156" s="325"/>
      <c r="J156" s="325"/>
    </row>
    <row r="157" spans="2:10" x14ac:dyDescent="0.3">
      <c r="B157" s="115"/>
      <c r="C157" s="115"/>
      <c r="E157" s="117"/>
      <c r="F157" s="41"/>
      <c r="G157" s="41"/>
      <c r="H157" s="41"/>
      <c r="I157" s="41"/>
      <c r="J157" s="41"/>
    </row>
    <row r="158" spans="2:10" ht="12.9" x14ac:dyDescent="0.35">
      <c r="B158" s="110" t="s">
        <v>139</v>
      </c>
      <c r="C158" s="111"/>
      <c r="D158" s="111"/>
      <c r="E158" s="316"/>
      <c r="F158" s="316"/>
      <c r="G158" s="316"/>
      <c r="H158" s="316"/>
      <c r="I158" s="316"/>
      <c r="J158" s="324"/>
    </row>
    <row r="159" spans="2:10" ht="12.9" x14ac:dyDescent="0.35">
      <c r="B159" s="115" t="s">
        <v>134</v>
      </c>
      <c r="C159" s="115"/>
      <c r="E159" s="117"/>
      <c r="F159" s="325"/>
      <c r="G159" s="325"/>
      <c r="H159" s="325"/>
      <c r="I159" s="325"/>
      <c r="J159" s="325"/>
    </row>
    <row r="160" spans="2:10" ht="12.9" x14ac:dyDescent="0.35">
      <c r="B160" s="115" t="s">
        <v>135</v>
      </c>
      <c r="C160" s="115"/>
      <c r="E160" s="117"/>
      <c r="F160" s="325"/>
      <c r="G160" s="325"/>
      <c r="H160" s="325"/>
      <c r="I160" s="325"/>
      <c r="J160" s="325"/>
    </row>
    <row r="161" spans="2:10" ht="12.9" x14ac:dyDescent="0.35">
      <c r="B161" s="115" t="s">
        <v>136</v>
      </c>
      <c r="C161" s="115"/>
      <c r="E161" s="117"/>
      <c r="F161" s="325"/>
      <c r="G161" s="325"/>
      <c r="H161" s="325"/>
      <c r="I161" s="325"/>
      <c r="J161" s="325"/>
    </row>
    <row r="163" spans="2:10" x14ac:dyDescent="0.3">
      <c r="B163" s="98" t="s">
        <v>140</v>
      </c>
      <c r="C163" s="98"/>
      <c r="D163" s="98"/>
      <c r="E163" s="98"/>
      <c r="F163" s="98"/>
      <c r="G163" s="98"/>
      <c r="H163" s="98"/>
      <c r="I163" s="98"/>
      <c r="J163" s="98"/>
    </row>
    <row r="164" spans="2:10" x14ac:dyDescent="0.3">
      <c r="E164" s="45"/>
      <c r="F164" s="43"/>
      <c r="G164" s="43"/>
      <c r="H164" s="43"/>
      <c r="I164" s="43"/>
      <c r="J164" s="43"/>
    </row>
    <row r="165" spans="2:10" x14ac:dyDescent="0.3">
      <c r="B165" t="s">
        <v>141</v>
      </c>
      <c r="F165" s="303"/>
      <c r="G165" s="303"/>
      <c r="H165" s="303"/>
      <c r="I165" s="303"/>
      <c r="J165" s="303"/>
    </row>
    <row r="166" spans="2:10" x14ac:dyDescent="0.3">
      <c r="F166" s="125"/>
      <c r="G166" s="125"/>
      <c r="H166" s="125"/>
      <c r="I166" s="125"/>
      <c r="J166" s="125"/>
    </row>
    <row r="167" spans="2:10" x14ac:dyDescent="0.3">
      <c r="B167" t="s">
        <v>142</v>
      </c>
      <c r="E167" s="45"/>
      <c r="F167" s="304"/>
      <c r="G167" s="304"/>
      <c r="H167" s="304"/>
      <c r="I167" s="304"/>
      <c r="J167" s="304"/>
    </row>
    <row r="168" spans="2:10" x14ac:dyDescent="0.3">
      <c r="B168" t="s">
        <v>143</v>
      </c>
      <c r="E168" s="45"/>
      <c r="F168" s="274"/>
      <c r="G168" s="274"/>
      <c r="H168" s="274"/>
      <c r="I168" s="274"/>
      <c r="J168" s="274"/>
    </row>
    <row r="169" spans="2:10" x14ac:dyDescent="0.3">
      <c r="E169" s="45"/>
      <c r="F169" s="127"/>
      <c r="G169" s="127"/>
      <c r="H169" s="127"/>
      <c r="I169" s="127"/>
      <c r="J169" s="127"/>
    </row>
    <row r="170" spans="2:10" ht="12.9" x14ac:dyDescent="0.35">
      <c r="B170" s="3" t="s">
        <v>144</v>
      </c>
      <c r="C170" s="4"/>
      <c r="D170" s="4"/>
      <c r="E170" s="128"/>
      <c r="F170" s="128"/>
      <c r="G170" s="128"/>
      <c r="H170" s="128"/>
      <c r="I170" s="128"/>
      <c r="J170" s="128"/>
    </row>
    <row r="172" spans="2:10" x14ac:dyDescent="0.3">
      <c r="B172" s="5" t="s">
        <v>145</v>
      </c>
      <c r="C172" s="5"/>
      <c r="D172" s="5"/>
      <c r="E172" s="70">
        <v>2020</v>
      </c>
      <c r="F172" s="90">
        <f>+E172+1</f>
        <v>2021</v>
      </c>
      <c r="G172" s="90">
        <f>+F172+1</f>
        <v>2022</v>
      </c>
      <c r="H172" s="90">
        <f>+G172+1</f>
        <v>2023</v>
      </c>
      <c r="I172" s="90">
        <f>+H172+1</f>
        <v>2024</v>
      </c>
      <c r="J172" s="90">
        <f>+I172+1</f>
        <v>2025</v>
      </c>
    </row>
    <row r="174" spans="2:10" x14ac:dyDescent="0.3">
      <c r="B174" t="s">
        <v>146</v>
      </c>
      <c r="E174" s="299"/>
      <c r="F174" s="287"/>
      <c r="G174" s="287"/>
      <c r="H174" s="287"/>
      <c r="I174" s="287"/>
      <c r="J174" s="287"/>
    </row>
    <row r="175" spans="2:10" x14ac:dyDescent="0.3">
      <c r="B175" s="9" t="s">
        <v>147</v>
      </c>
      <c r="C175" s="9"/>
      <c r="D175" s="9"/>
      <c r="E175" s="280"/>
      <c r="F175" s="288"/>
      <c r="G175" s="288"/>
      <c r="H175" s="288"/>
      <c r="I175" s="288"/>
      <c r="J175" s="288"/>
    </row>
    <row r="176" spans="2:10" x14ac:dyDescent="0.3">
      <c r="B176" s="13" t="s">
        <v>148</v>
      </c>
      <c r="C176" s="13"/>
      <c r="D176" s="13"/>
      <c r="E176" s="253"/>
      <c r="F176" s="253"/>
      <c r="G176" s="253"/>
      <c r="H176" s="253"/>
      <c r="I176" s="253"/>
      <c r="J176" s="253"/>
    </row>
    <row r="177" spans="2:10" ht="12.9" x14ac:dyDescent="0.35">
      <c r="B177" s="11" t="s">
        <v>149</v>
      </c>
      <c r="C177" s="2"/>
      <c r="D177" s="2"/>
      <c r="E177" s="306"/>
      <c r="F177" s="306"/>
      <c r="G177" s="306"/>
      <c r="H177" s="306"/>
      <c r="I177" s="306"/>
      <c r="J177" s="306"/>
    </row>
    <row r="178" spans="2:10" x14ac:dyDescent="0.3">
      <c r="E178" s="44"/>
      <c r="F178" s="42"/>
      <c r="G178" s="42"/>
      <c r="H178" s="42"/>
      <c r="I178" s="42"/>
      <c r="J178" s="42"/>
    </row>
    <row r="179" spans="2:10" x14ac:dyDescent="0.3">
      <c r="B179" t="s">
        <v>150</v>
      </c>
      <c r="E179" s="275"/>
      <c r="F179" s="273"/>
      <c r="G179" s="273"/>
      <c r="H179" s="273"/>
      <c r="I179" s="273"/>
      <c r="J179" s="273"/>
    </row>
    <row r="180" spans="2:10" x14ac:dyDescent="0.3">
      <c r="B180" s="9" t="s">
        <v>151</v>
      </c>
      <c r="C180" s="9"/>
      <c r="D180" s="9"/>
      <c r="E180" s="280"/>
      <c r="F180" s="288"/>
      <c r="G180" s="288"/>
      <c r="H180" s="288"/>
      <c r="I180" s="288"/>
      <c r="J180" s="288"/>
    </row>
    <row r="181" spans="2:10" x14ac:dyDescent="0.3">
      <c r="B181" s="13" t="s">
        <v>118</v>
      </c>
      <c r="C181" s="13"/>
      <c r="D181" s="13"/>
      <c r="E181" s="253"/>
      <c r="F181" s="253"/>
      <c r="G181" s="253"/>
      <c r="H181" s="253"/>
      <c r="I181" s="253"/>
      <c r="J181" s="253"/>
    </row>
    <row r="182" spans="2:10" ht="12.9" x14ac:dyDescent="0.35">
      <c r="B182" s="11" t="s">
        <v>152</v>
      </c>
      <c r="C182" s="2"/>
      <c r="D182" s="2"/>
      <c r="E182" s="326"/>
      <c r="F182" s="326"/>
      <c r="G182" s="326"/>
      <c r="H182" s="326"/>
      <c r="I182" s="326"/>
      <c r="J182" s="326"/>
    </row>
    <row r="183" spans="2:10" x14ac:dyDescent="0.3">
      <c r="B183" s="13"/>
      <c r="C183" s="13"/>
      <c r="D183" s="13"/>
      <c r="E183" s="16"/>
      <c r="F183" s="16"/>
      <c r="G183" s="16"/>
      <c r="H183" s="16"/>
      <c r="I183" s="16"/>
      <c r="J183" s="16"/>
    </row>
    <row r="184" spans="2:10" x14ac:dyDescent="0.3">
      <c r="B184" t="s">
        <v>153</v>
      </c>
      <c r="E184" s="275"/>
      <c r="F184" s="273"/>
      <c r="G184" s="273"/>
      <c r="H184" s="273"/>
      <c r="I184" s="273"/>
      <c r="J184" s="273"/>
    </row>
    <row r="185" spans="2:10" x14ac:dyDescent="0.3">
      <c r="B185" t="s">
        <v>154</v>
      </c>
      <c r="E185" s="275"/>
      <c r="F185" s="273"/>
      <c r="G185" s="273"/>
      <c r="H185" s="273"/>
      <c r="I185" s="273"/>
      <c r="J185" s="273"/>
    </row>
    <row r="186" spans="2:10" x14ac:dyDescent="0.3">
      <c r="B186" t="s">
        <v>155</v>
      </c>
      <c r="E186" s="275"/>
      <c r="F186" s="273"/>
      <c r="G186" s="273"/>
      <c r="H186" s="273"/>
      <c r="I186" s="273"/>
      <c r="J186" s="273"/>
    </row>
    <row r="187" spans="2:10" x14ac:dyDescent="0.3">
      <c r="B187" t="s">
        <v>156</v>
      </c>
      <c r="E187" s="275"/>
      <c r="F187" s="273"/>
      <c r="G187" s="273"/>
      <c r="H187" s="273"/>
      <c r="I187" s="273"/>
      <c r="J187" s="273"/>
    </row>
    <row r="188" spans="2:10" x14ac:dyDescent="0.3">
      <c r="B188" s="130" t="s">
        <v>122</v>
      </c>
      <c r="C188" s="130"/>
      <c r="D188" s="130"/>
      <c r="E188" s="327"/>
      <c r="F188" s="327"/>
      <c r="G188" s="327"/>
      <c r="H188" s="327"/>
      <c r="I188" s="327"/>
      <c r="J188" s="327"/>
    </row>
    <row r="189" spans="2:10" x14ac:dyDescent="0.3">
      <c r="B189" s="9" t="s">
        <v>157</v>
      </c>
      <c r="C189" s="9"/>
      <c r="D189" s="9"/>
      <c r="E189" s="328"/>
      <c r="F189" s="288"/>
      <c r="G189" s="288"/>
      <c r="H189" s="288"/>
      <c r="I189" s="288"/>
      <c r="J189" s="288"/>
    </row>
    <row r="190" spans="2:10" x14ac:dyDescent="0.3">
      <c r="B190" s="13" t="s">
        <v>158</v>
      </c>
      <c r="C190" s="13"/>
      <c r="D190" s="13"/>
      <c r="E190" s="253"/>
      <c r="F190" s="253"/>
      <c r="G190" s="253"/>
      <c r="H190" s="253"/>
      <c r="I190" s="253"/>
      <c r="J190" s="253"/>
    </row>
    <row r="191" spans="2:10" ht="12.9" x14ac:dyDescent="0.35">
      <c r="B191" s="11" t="s">
        <v>159</v>
      </c>
      <c r="C191" s="133"/>
      <c r="D191" s="133"/>
      <c r="E191" s="326"/>
      <c r="F191" s="326"/>
      <c r="G191" s="326"/>
      <c r="H191" s="326"/>
      <c r="I191" s="326"/>
      <c r="J191" s="326"/>
    </row>
    <row r="192" spans="2:10" x14ac:dyDescent="0.3">
      <c r="B192" s="13"/>
      <c r="C192" s="13"/>
      <c r="D192" s="13"/>
      <c r="E192" s="16"/>
      <c r="F192" s="16"/>
      <c r="G192" s="16"/>
      <c r="H192" s="16"/>
      <c r="I192" s="16"/>
      <c r="J192" s="16"/>
    </row>
    <row r="193" spans="2:10" x14ac:dyDescent="0.3">
      <c r="B193" t="s">
        <v>160</v>
      </c>
      <c r="E193" s="275"/>
      <c r="F193" s="273"/>
      <c r="G193" s="273"/>
      <c r="H193" s="273"/>
      <c r="I193" s="273"/>
      <c r="J193" s="273"/>
    </row>
    <row r="194" spans="2:10" x14ac:dyDescent="0.3">
      <c r="B194" t="s">
        <v>161</v>
      </c>
      <c r="E194" s="275"/>
      <c r="F194" s="273"/>
      <c r="G194" s="273"/>
      <c r="H194" s="273"/>
      <c r="I194" s="273"/>
      <c r="J194" s="273"/>
    </row>
    <row r="195" spans="2:10" x14ac:dyDescent="0.3">
      <c r="B195" t="s">
        <v>162</v>
      </c>
      <c r="E195" s="275"/>
      <c r="F195" s="273"/>
      <c r="G195" s="273"/>
      <c r="H195" s="273"/>
      <c r="I195" s="273"/>
      <c r="J195" s="273"/>
    </row>
    <row r="196" spans="2:10" x14ac:dyDescent="0.3">
      <c r="B196" s="9" t="s">
        <v>163</v>
      </c>
      <c r="C196" s="9"/>
      <c r="D196" s="9"/>
      <c r="E196" s="329"/>
      <c r="F196" s="288"/>
      <c r="G196" s="288"/>
      <c r="H196" s="288"/>
      <c r="I196" s="288"/>
      <c r="J196" s="288"/>
    </row>
    <row r="197" spans="2:10" x14ac:dyDescent="0.3">
      <c r="B197" s="13" t="s">
        <v>164</v>
      </c>
      <c r="C197" s="13"/>
      <c r="D197" s="13"/>
      <c r="E197" s="253"/>
      <c r="F197" s="253"/>
      <c r="G197" s="253"/>
      <c r="H197" s="253"/>
      <c r="I197" s="253"/>
      <c r="J197" s="253"/>
    </row>
    <row r="198" spans="2:10" ht="12.9" x14ac:dyDescent="0.35">
      <c r="B198" s="11" t="s">
        <v>165</v>
      </c>
      <c r="C198" s="133"/>
      <c r="D198" s="133"/>
      <c r="E198" s="326"/>
      <c r="F198" s="326"/>
      <c r="G198" s="326"/>
      <c r="H198" s="326"/>
      <c r="I198" s="326"/>
      <c r="J198" s="326"/>
    </row>
    <row r="199" spans="2:10" x14ac:dyDescent="0.3">
      <c r="B199" s="13"/>
      <c r="C199" s="13"/>
      <c r="D199" s="13"/>
      <c r="E199" s="16"/>
      <c r="F199" s="16"/>
      <c r="G199" s="16"/>
      <c r="H199" s="16"/>
      <c r="I199" s="16"/>
      <c r="J199" s="16"/>
    </row>
    <row r="200" spans="2:10" x14ac:dyDescent="0.3">
      <c r="B200" t="s">
        <v>166</v>
      </c>
      <c r="E200" s="275"/>
      <c r="F200" s="273"/>
      <c r="G200" s="273"/>
      <c r="H200" s="273"/>
      <c r="I200" s="273"/>
      <c r="J200" s="273"/>
    </row>
    <row r="201" spans="2:10" x14ac:dyDescent="0.3">
      <c r="B201" s="9" t="s">
        <v>167</v>
      </c>
      <c r="C201" s="9"/>
      <c r="D201" s="9"/>
      <c r="E201" s="280"/>
      <c r="F201" s="288"/>
      <c r="G201" s="288"/>
      <c r="H201" s="288"/>
      <c r="I201" s="288"/>
      <c r="J201" s="288"/>
    </row>
    <row r="202" spans="2:10" x14ac:dyDescent="0.3">
      <c r="B202" s="13" t="s">
        <v>168</v>
      </c>
      <c r="C202" s="13"/>
      <c r="D202" s="13"/>
      <c r="E202" s="253"/>
      <c r="F202" s="253"/>
      <c r="G202" s="253"/>
      <c r="H202" s="253"/>
      <c r="I202" s="253"/>
      <c r="J202" s="253"/>
    </row>
    <row r="203" spans="2:10" x14ac:dyDescent="0.3">
      <c r="B203" t="s">
        <v>169</v>
      </c>
      <c r="E203" s="275"/>
      <c r="F203" s="273"/>
      <c r="G203" s="273"/>
      <c r="H203" s="273"/>
      <c r="I203" s="273"/>
      <c r="J203" s="273"/>
    </row>
    <row r="204" spans="2:10" x14ac:dyDescent="0.3">
      <c r="B204" s="130" t="s">
        <v>170</v>
      </c>
      <c r="C204" s="130"/>
      <c r="D204" s="130"/>
      <c r="E204" s="327"/>
      <c r="F204" s="327"/>
      <c r="G204" s="327"/>
      <c r="H204" s="327"/>
      <c r="I204" s="327"/>
      <c r="J204" s="327"/>
    </row>
    <row r="205" spans="2:10" x14ac:dyDescent="0.3">
      <c r="B205" t="s">
        <v>171</v>
      </c>
      <c r="E205" s="330"/>
      <c r="F205" s="273"/>
      <c r="G205" s="273"/>
      <c r="H205" s="273"/>
      <c r="I205" s="273"/>
      <c r="J205" s="273"/>
    </row>
    <row r="206" spans="2:10" x14ac:dyDescent="0.3">
      <c r="B206" t="s">
        <v>172</v>
      </c>
      <c r="E206" s="330"/>
      <c r="F206" s="273"/>
      <c r="G206" s="273"/>
      <c r="H206" s="273"/>
      <c r="I206" s="273"/>
      <c r="J206" s="273"/>
    </row>
    <row r="207" spans="2:10" x14ac:dyDescent="0.3">
      <c r="B207" t="s">
        <v>173</v>
      </c>
      <c r="E207" s="330"/>
      <c r="F207" s="273"/>
      <c r="G207" s="273"/>
      <c r="H207" s="273"/>
      <c r="I207" s="273"/>
      <c r="J207" s="273"/>
    </row>
    <row r="208" spans="2:10" x14ac:dyDescent="0.3">
      <c r="B208" t="s">
        <v>162</v>
      </c>
      <c r="E208" s="330"/>
      <c r="F208" s="273"/>
      <c r="G208" s="273"/>
      <c r="H208" s="273"/>
      <c r="I208" s="273"/>
      <c r="J208" s="273"/>
    </row>
    <row r="209" spans="2:10" x14ac:dyDescent="0.3">
      <c r="B209" t="s">
        <v>174</v>
      </c>
      <c r="E209" s="330"/>
      <c r="F209" s="273"/>
      <c r="G209" s="273"/>
      <c r="H209" s="273"/>
      <c r="I209" s="273"/>
      <c r="J209" s="273"/>
    </row>
    <row r="210" spans="2:10" x14ac:dyDescent="0.3">
      <c r="B210" t="s">
        <v>175</v>
      </c>
      <c r="E210" s="330"/>
      <c r="F210" s="273"/>
      <c r="G210" s="273"/>
      <c r="H210" s="273"/>
      <c r="I210" s="273"/>
      <c r="J210" s="273"/>
    </row>
    <row r="211" spans="2:10" x14ac:dyDescent="0.3">
      <c r="B211" t="s">
        <v>176</v>
      </c>
      <c r="E211" s="330"/>
      <c r="F211" s="273"/>
      <c r="G211" s="273"/>
      <c r="H211" s="273"/>
      <c r="I211" s="273"/>
      <c r="J211" s="273"/>
    </row>
    <row r="212" spans="2:10" x14ac:dyDescent="0.3">
      <c r="B212" t="s">
        <v>177</v>
      </c>
      <c r="E212" s="330"/>
      <c r="F212" s="273"/>
      <c r="G212" s="273"/>
      <c r="H212" s="273"/>
      <c r="I212" s="273"/>
      <c r="J212" s="273"/>
    </row>
    <row r="213" spans="2:10" x14ac:dyDescent="0.3">
      <c r="B213" t="s">
        <v>178</v>
      </c>
      <c r="E213" s="330"/>
      <c r="F213" s="273"/>
      <c r="G213" s="273"/>
      <c r="H213" s="273"/>
      <c r="I213" s="273"/>
      <c r="J213" s="273"/>
    </row>
    <row r="214" spans="2:10" x14ac:dyDescent="0.3">
      <c r="B214" t="s">
        <v>179</v>
      </c>
      <c r="E214" s="330"/>
      <c r="F214" s="275"/>
      <c r="G214" s="275"/>
      <c r="H214" s="273"/>
      <c r="I214" s="273"/>
      <c r="J214" s="273"/>
    </row>
    <row r="215" spans="2:10" x14ac:dyDescent="0.3">
      <c r="B215" s="9" t="s">
        <v>180</v>
      </c>
      <c r="C215" s="9"/>
      <c r="D215" s="9"/>
      <c r="E215" s="331"/>
      <c r="F215" s="280"/>
      <c r="G215" s="280"/>
      <c r="H215" s="288"/>
      <c r="I215" s="288"/>
      <c r="J215" s="288"/>
    </row>
    <row r="216" spans="2:10" x14ac:dyDescent="0.3">
      <c r="B216" s="13" t="s">
        <v>181</v>
      </c>
      <c r="C216" s="13"/>
      <c r="D216" s="13"/>
      <c r="E216" s="332"/>
      <c r="F216" s="253"/>
      <c r="G216" s="253"/>
      <c r="H216" s="253"/>
      <c r="I216" s="253"/>
      <c r="J216" s="253"/>
    </row>
    <row r="217" spans="2:10" x14ac:dyDescent="0.3">
      <c r="B217" s="9" t="s">
        <v>182</v>
      </c>
      <c r="C217" s="9"/>
      <c r="D217" s="9"/>
      <c r="E217" s="331"/>
      <c r="F217" s="288"/>
      <c r="G217" s="288"/>
      <c r="H217" s="288"/>
      <c r="I217" s="288"/>
      <c r="J217" s="288"/>
    </row>
    <row r="218" spans="2:10" x14ac:dyDescent="0.3">
      <c r="B218" s="13" t="s">
        <v>183</v>
      </c>
      <c r="C218" s="13"/>
      <c r="D218" s="13"/>
      <c r="E218" s="332"/>
      <c r="F218" s="253"/>
      <c r="G218" s="253"/>
      <c r="H218" s="253"/>
      <c r="I218" s="253"/>
      <c r="J218" s="253"/>
    </row>
    <row r="219" spans="2:10" x14ac:dyDescent="0.3">
      <c r="B219" s="9" t="s">
        <v>184</v>
      </c>
      <c r="C219" s="9"/>
      <c r="D219" s="9"/>
      <c r="E219" s="331"/>
      <c r="F219" s="288"/>
      <c r="G219" s="288"/>
      <c r="H219" s="288"/>
      <c r="I219" s="288"/>
      <c r="J219" s="288"/>
    </row>
    <row r="220" spans="2:10" x14ac:dyDescent="0.3">
      <c r="B220" s="13" t="s">
        <v>185</v>
      </c>
      <c r="C220" s="13"/>
      <c r="D220" s="13"/>
      <c r="E220" s="332"/>
      <c r="F220" s="253"/>
      <c r="G220" s="253"/>
      <c r="H220" s="253"/>
      <c r="I220" s="253"/>
      <c r="J220" s="253"/>
    </row>
    <row r="221" spans="2:10" x14ac:dyDescent="0.3">
      <c r="B221" s="13"/>
      <c r="C221" s="13"/>
      <c r="D221" s="13"/>
      <c r="E221" s="13"/>
      <c r="F221" s="16"/>
      <c r="G221" s="16"/>
      <c r="H221" s="16"/>
      <c r="I221" s="16"/>
      <c r="J221" s="16"/>
    </row>
    <row r="222" spans="2:10" x14ac:dyDescent="0.3">
      <c r="B222" s="102" t="s">
        <v>186</v>
      </c>
      <c r="C222" s="13"/>
      <c r="D222" s="13"/>
      <c r="E222" s="13"/>
      <c r="F222" s="16"/>
      <c r="G222" s="16"/>
      <c r="H222" s="16"/>
      <c r="I222" s="16"/>
      <c r="J222" s="16"/>
    </row>
    <row r="223" spans="2:10" x14ac:dyDescent="0.3">
      <c r="B223" t="s">
        <v>187</v>
      </c>
      <c r="F223" s="287"/>
      <c r="G223" s="287"/>
      <c r="H223" s="287"/>
      <c r="I223" s="287"/>
      <c r="J223" s="287"/>
    </row>
    <row r="224" spans="2:10" x14ac:dyDescent="0.3">
      <c r="B224" t="s">
        <v>188</v>
      </c>
      <c r="F224" s="273"/>
      <c r="G224" s="273"/>
      <c r="H224" s="273"/>
      <c r="I224" s="273"/>
      <c r="J224" s="273"/>
    </row>
    <row r="225" spans="2:10" x14ac:dyDescent="0.3">
      <c r="B225" s="130" t="s">
        <v>189</v>
      </c>
      <c r="C225" s="130"/>
      <c r="D225" s="130"/>
      <c r="E225" s="130"/>
      <c r="F225" s="327"/>
      <c r="G225" s="327"/>
      <c r="H225" s="327"/>
      <c r="I225" s="327"/>
      <c r="J225" s="327"/>
    </row>
    <row r="226" spans="2:10" x14ac:dyDescent="0.3">
      <c r="B226" s="13"/>
      <c r="C226" s="13"/>
      <c r="D226" s="13"/>
      <c r="E226" s="16"/>
      <c r="F226" s="16"/>
      <c r="G226" s="16"/>
      <c r="H226" s="16"/>
      <c r="I226" s="16"/>
      <c r="J226" s="16"/>
    </row>
    <row r="227" spans="2:10" x14ac:dyDescent="0.3">
      <c r="B227" s="98" t="s">
        <v>190</v>
      </c>
      <c r="C227" s="98"/>
      <c r="D227" s="98"/>
      <c r="E227" s="98"/>
      <c r="F227" s="98"/>
      <c r="G227" s="98"/>
      <c r="H227" s="135"/>
      <c r="I227" s="135"/>
      <c r="J227" s="135"/>
    </row>
    <row r="229" spans="2:10" x14ac:dyDescent="0.3">
      <c r="B229" t="s">
        <v>124</v>
      </c>
      <c r="D229" s="309"/>
      <c r="G229" s="136"/>
      <c r="H229" s="137"/>
      <c r="I229" s="137"/>
      <c r="J229" s="137"/>
    </row>
    <row r="230" spans="2:10" x14ac:dyDescent="0.3">
      <c r="B230" t="s">
        <v>125</v>
      </c>
      <c r="D230" s="310"/>
      <c r="G230" s="136"/>
      <c r="H230" s="137"/>
      <c r="I230" s="137"/>
      <c r="J230" s="137"/>
    </row>
    <row r="231" spans="2:10" x14ac:dyDescent="0.3">
      <c r="G231" s="136"/>
      <c r="H231" s="137"/>
      <c r="I231" s="137"/>
      <c r="J231" s="137"/>
    </row>
    <row r="232" spans="2:10" ht="12.9" x14ac:dyDescent="0.35">
      <c r="B232" s="110" t="s">
        <v>191</v>
      </c>
      <c r="C232" s="111"/>
      <c r="D232" s="111"/>
      <c r="E232" s="316"/>
      <c r="F232" s="316"/>
      <c r="G232" s="316"/>
      <c r="H232" s="316"/>
      <c r="I232" s="316"/>
      <c r="J232" s="324"/>
    </row>
    <row r="233" spans="2:10" ht="12.9" x14ac:dyDescent="0.35">
      <c r="B233" s="115" t="s">
        <v>134</v>
      </c>
      <c r="C233" s="115"/>
      <c r="E233" s="138"/>
      <c r="F233" s="325"/>
      <c r="G233" s="325"/>
      <c r="H233" s="325"/>
      <c r="I233" s="325"/>
      <c r="J233" s="325"/>
    </row>
    <row r="234" spans="2:10" ht="12.9" x14ac:dyDescent="0.35">
      <c r="B234" s="115" t="s">
        <v>135</v>
      </c>
      <c r="C234" s="115"/>
      <c r="E234" s="138"/>
      <c r="F234" s="325"/>
      <c r="G234" s="325"/>
      <c r="H234" s="325"/>
      <c r="I234" s="325"/>
      <c r="J234" s="325"/>
    </row>
    <row r="235" spans="2:10" ht="12.9" x14ac:dyDescent="0.35">
      <c r="B235" s="115" t="s">
        <v>136</v>
      </c>
      <c r="C235" s="115"/>
      <c r="E235" s="138"/>
      <c r="F235" s="325"/>
      <c r="G235" s="325"/>
      <c r="H235" s="325"/>
      <c r="I235" s="325"/>
      <c r="J235" s="325"/>
    </row>
    <row r="236" spans="2:10" ht="12.9" x14ac:dyDescent="0.35">
      <c r="E236" s="138"/>
      <c r="F236" s="123"/>
      <c r="G236" s="123"/>
      <c r="H236" s="123"/>
      <c r="I236" s="123"/>
      <c r="J236" s="123"/>
    </row>
    <row r="237" spans="2:10" ht="12.9" x14ac:dyDescent="0.35">
      <c r="B237" s="110" t="s">
        <v>119</v>
      </c>
      <c r="C237" s="111"/>
      <c r="D237" s="111"/>
      <c r="E237" s="323"/>
      <c r="F237" s="316"/>
      <c r="G237" s="316"/>
      <c r="H237" s="316"/>
      <c r="I237" s="316"/>
      <c r="J237" s="324"/>
    </row>
    <row r="238" spans="2:10" ht="12.9" x14ac:dyDescent="0.35">
      <c r="B238" s="115" t="s">
        <v>134</v>
      </c>
      <c r="C238" s="115"/>
      <c r="E238" s="138"/>
      <c r="F238" s="325"/>
      <c r="G238" s="325"/>
      <c r="H238" s="325"/>
      <c r="I238" s="325"/>
      <c r="J238" s="325"/>
    </row>
    <row r="239" spans="2:10" ht="12.9" x14ac:dyDescent="0.35">
      <c r="B239" s="115" t="s">
        <v>135</v>
      </c>
      <c r="C239" s="115"/>
      <c r="E239" s="138"/>
      <c r="F239" s="325"/>
      <c r="G239" s="325"/>
      <c r="H239" s="325"/>
      <c r="I239" s="325"/>
      <c r="J239" s="325"/>
    </row>
    <row r="240" spans="2:10" ht="12.9" x14ac:dyDescent="0.35">
      <c r="B240" s="115" t="s">
        <v>136</v>
      </c>
      <c r="C240" s="115"/>
      <c r="E240" s="138"/>
      <c r="F240" s="325"/>
      <c r="G240" s="325"/>
      <c r="H240" s="325"/>
      <c r="I240" s="325"/>
      <c r="J240" s="325"/>
    </row>
    <row r="241" spans="2:10" ht="12.9" x14ac:dyDescent="0.35">
      <c r="E241" s="138"/>
      <c r="F241" s="123"/>
      <c r="G241" s="123"/>
      <c r="H241" s="123"/>
      <c r="I241" s="123"/>
      <c r="J241" s="123"/>
    </row>
    <row r="242" spans="2:10" ht="12.9" x14ac:dyDescent="0.35">
      <c r="B242" s="110" t="s">
        <v>138</v>
      </c>
      <c r="C242" s="111"/>
      <c r="D242" s="111"/>
      <c r="E242" s="323"/>
      <c r="F242" s="316"/>
      <c r="G242" s="316"/>
      <c r="H242" s="316"/>
      <c r="I242" s="316"/>
      <c r="J242" s="324"/>
    </row>
    <row r="243" spans="2:10" ht="12.9" x14ac:dyDescent="0.35">
      <c r="B243" s="115" t="s">
        <v>134</v>
      </c>
      <c r="C243" s="115"/>
      <c r="E243" s="138"/>
      <c r="F243" s="325"/>
      <c r="G243" s="325"/>
      <c r="H243" s="325"/>
      <c r="I243" s="325"/>
      <c r="J243" s="325"/>
    </row>
    <row r="244" spans="2:10" ht="12.9" x14ac:dyDescent="0.35">
      <c r="B244" s="115" t="s">
        <v>135</v>
      </c>
      <c r="C244" s="115"/>
      <c r="E244" s="138"/>
      <c r="F244" s="325"/>
      <c r="G244" s="325"/>
      <c r="H244" s="325"/>
      <c r="I244" s="325"/>
      <c r="J244" s="325"/>
    </row>
    <row r="245" spans="2:10" ht="12.9" x14ac:dyDescent="0.35">
      <c r="B245" s="115" t="s">
        <v>136</v>
      </c>
      <c r="C245" s="115"/>
      <c r="E245" s="138"/>
      <c r="F245" s="325"/>
      <c r="G245" s="325"/>
      <c r="H245" s="325"/>
      <c r="I245" s="325"/>
      <c r="J245" s="325"/>
    </row>
    <row r="246" spans="2:10" ht="12.9" x14ac:dyDescent="0.35">
      <c r="B246" s="115"/>
      <c r="C246" s="115"/>
      <c r="E246" s="138"/>
      <c r="F246" s="123"/>
      <c r="G246" s="123"/>
      <c r="H246" s="123"/>
      <c r="I246" s="123"/>
      <c r="J246" s="123"/>
    </row>
    <row r="247" spans="2:10" ht="12.9" x14ac:dyDescent="0.35">
      <c r="B247" s="110" t="s">
        <v>139</v>
      </c>
      <c r="C247" s="111"/>
      <c r="D247" s="111"/>
      <c r="E247" s="323"/>
      <c r="F247" s="316"/>
      <c r="G247" s="316"/>
      <c r="H247" s="316"/>
      <c r="I247" s="316"/>
      <c r="J247" s="324"/>
    </row>
    <row r="248" spans="2:10" ht="12.9" x14ac:dyDescent="0.35">
      <c r="B248" s="115" t="s">
        <v>134</v>
      </c>
      <c r="C248" s="115"/>
      <c r="E248" s="138"/>
      <c r="F248" s="325"/>
      <c r="G248" s="325"/>
      <c r="H248" s="325"/>
      <c r="I248" s="325"/>
      <c r="J248" s="325"/>
    </row>
    <row r="249" spans="2:10" ht="12.9" x14ac:dyDescent="0.35">
      <c r="B249" s="115" t="s">
        <v>135</v>
      </c>
      <c r="C249" s="115"/>
      <c r="E249" s="138"/>
      <c r="F249" s="325"/>
      <c r="G249" s="325"/>
      <c r="H249" s="325"/>
      <c r="I249" s="325"/>
      <c r="J249" s="325"/>
    </row>
    <row r="250" spans="2:10" ht="12.9" x14ac:dyDescent="0.35">
      <c r="B250" s="115" t="s">
        <v>136</v>
      </c>
      <c r="C250" s="115"/>
      <c r="E250" s="138"/>
      <c r="F250" s="325"/>
      <c r="G250" s="325"/>
      <c r="H250" s="325"/>
      <c r="I250" s="325"/>
      <c r="J250" s="325"/>
    </row>
    <row r="251" spans="2:10" ht="12.9" x14ac:dyDescent="0.35">
      <c r="B251" s="115"/>
      <c r="C251" s="115"/>
      <c r="E251" s="138"/>
      <c r="F251" s="123"/>
      <c r="G251" s="123"/>
      <c r="H251" s="123"/>
      <c r="I251" s="123"/>
      <c r="J251" s="123"/>
    </row>
    <row r="252" spans="2:10" ht="12.9" x14ac:dyDescent="0.35">
      <c r="B252" s="110" t="s">
        <v>192</v>
      </c>
      <c r="C252" s="111"/>
      <c r="D252" s="111"/>
      <c r="E252" s="323"/>
      <c r="F252" s="316"/>
      <c r="G252" s="316"/>
      <c r="H252" s="316"/>
      <c r="I252" s="316"/>
      <c r="J252" s="324"/>
    </row>
    <row r="253" spans="2:10" ht="12.9" x14ac:dyDescent="0.35">
      <c r="B253" s="115" t="s">
        <v>134</v>
      </c>
      <c r="C253" s="115"/>
      <c r="E253" s="138"/>
      <c r="F253" s="325"/>
      <c r="G253" s="325"/>
      <c r="H253" s="325"/>
      <c r="I253" s="325"/>
      <c r="J253" s="325"/>
    </row>
    <row r="254" spans="2:10" ht="12.9" x14ac:dyDescent="0.35">
      <c r="B254" s="115" t="s">
        <v>135</v>
      </c>
      <c r="C254" s="115"/>
      <c r="E254" s="138"/>
      <c r="F254" s="325"/>
      <c r="G254" s="325"/>
      <c r="H254" s="325"/>
      <c r="I254" s="325"/>
      <c r="J254" s="325"/>
    </row>
    <row r="255" spans="2:10" ht="12.9" x14ac:dyDescent="0.35">
      <c r="B255" s="115" t="s">
        <v>136</v>
      </c>
      <c r="C255" s="115"/>
      <c r="E255" s="138"/>
      <c r="F255" s="325"/>
      <c r="G255" s="325"/>
      <c r="H255" s="325"/>
      <c r="I255" s="325"/>
      <c r="J255" s="325"/>
    </row>
    <row r="256" spans="2:10" ht="12.9" x14ac:dyDescent="0.35">
      <c r="B256" s="115"/>
      <c r="C256" s="115"/>
      <c r="E256" s="138"/>
      <c r="F256" s="123"/>
      <c r="G256" s="123"/>
      <c r="H256" s="123"/>
      <c r="I256" s="123"/>
      <c r="J256" s="123"/>
    </row>
    <row r="257" spans="2:10" ht="12.9" x14ac:dyDescent="0.35">
      <c r="B257" s="110" t="s">
        <v>193</v>
      </c>
      <c r="C257" s="111"/>
      <c r="D257" s="111"/>
      <c r="E257" s="333"/>
      <c r="F257" s="316"/>
      <c r="G257" s="316"/>
      <c r="H257" s="316"/>
      <c r="I257" s="316"/>
      <c r="J257" s="324"/>
    </row>
    <row r="258" spans="2:10" ht="12.9" x14ac:dyDescent="0.35">
      <c r="B258" s="115" t="s">
        <v>134</v>
      </c>
      <c r="C258" s="115"/>
      <c r="E258" s="2"/>
      <c r="F258" s="325"/>
      <c r="G258" s="325"/>
      <c r="H258" s="325"/>
      <c r="I258" s="325"/>
      <c r="J258" s="325"/>
    </row>
    <row r="259" spans="2:10" ht="12.9" x14ac:dyDescent="0.35">
      <c r="B259" s="115" t="s">
        <v>135</v>
      </c>
      <c r="C259" s="115"/>
      <c r="E259" s="2"/>
      <c r="F259" s="325"/>
      <c r="G259" s="325"/>
      <c r="H259" s="325"/>
      <c r="I259" s="325"/>
      <c r="J259" s="325"/>
    </row>
    <row r="260" spans="2:10" ht="12.9" x14ac:dyDescent="0.35">
      <c r="B260" s="115" t="s">
        <v>136</v>
      </c>
      <c r="C260" s="115"/>
      <c r="E260" s="2"/>
      <c r="F260" s="325"/>
      <c r="G260" s="325"/>
      <c r="H260" s="325"/>
      <c r="I260" s="325"/>
      <c r="J260" s="325"/>
    </row>
    <row r="261" spans="2:10" ht="12.9" x14ac:dyDescent="0.35">
      <c r="B261" s="115"/>
      <c r="C261" s="115"/>
      <c r="E261" s="2"/>
      <c r="F261" s="123"/>
      <c r="G261" s="123"/>
      <c r="H261" s="123"/>
      <c r="I261" s="123"/>
      <c r="J261" s="123"/>
    </row>
    <row r="262" spans="2:10" ht="12.9" x14ac:dyDescent="0.35">
      <c r="B262" s="110" t="s">
        <v>194</v>
      </c>
      <c r="C262" s="111"/>
      <c r="D262" s="111"/>
      <c r="E262" s="333"/>
      <c r="F262" s="316"/>
      <c r="G262" s="316"/>
      <c r="H262" s="316"/>
      <c r="I262" s="316"/>
      <c r="J262" s="324"/>
    </row>
    <row r="263" spans="2:10" ht="12.9" x14ac:dyDescent="0.35">
      <c r="B263" s="115" t="s">
        <v>134</v>
      </c>
      <c r="C263" s="115"/>
      <c r="E263" s="2"/>
      <c r="F263" s="325"/>
      <c r="G263" s="325"/>
      <c r="H263" s="325"/>
      <c r="I263" s="325"/>
      <c r="J263" s="325"/>
    </row>
    <row r="264" spans="2:10" ht="12.9" x14ac:dyDescent="0.35">
      <c r="B264" s="115" t="s">
        <v>135</v>
      </c>
      <c r="C264" s="115"/>
      <c r="E264" s="2"/>
      <c r="F264" s="325"/>
      <c r="G264" s="325"/>
      <c r="H264" s="325"/>
      <c r="I264" s="325"/>
      <c r="J264" s="325"/>
    </row>
    <row r="265" spans="2:10" ht="12.9" x14ac:dyDescent="0.35">
      <c r="B265" s="115" t="s">
        <v>136</v>
      </c>
      <c r="C265" s="115"/>
      <c r="E265" s="2"/>
      <c r="F265" s="325"/>
      <c r="G265" s="325"/>
      <c r="H265" s="325"/>
      <c r="I265" s="325"/>
      <c r="J265" s="325"/>
    </row>
    <row r="266" spans="2:10" ht="12.9" x14ac:dyDescent="0.35">
      <c r="B266" s="115"/>
      <c r="C266" s="115"/>
      <c r="E266" s="2"/>
      <c r="F266" s="123"/>
      <c r="G266" s="123"/>
      <c r="H266" s="123"/>
      <c r="I266" s="123"/>
      <c r="J266" s="123"/>
    </row>
    <row r="267" spans="2:10" ht="12.9" x14ac:dyDescent="0.35">
      <c r="B267" s="3" t="s">
        <v>195</v>
      </c>
      <c r="C267" s="4"/>
      <c r="D267" s="4"/>
      <c r="E267" s="128"/>
      <c r="F267" s="128"/>
      <c r="G267" s="128"/>
      <c r="H267" s="128"/>
      <c r="I267" s="128"/>
      <c r="J267" s="128"/>
    </row>
    <row r="268" spans="2:10" ht="12.9" x14ac:dyDescent="0.35">
      <c r="C268" s="115"/>
      <c r="E268" s="138"/>
      <c r="F268" s="138"/>
      <c r="G268" s="138"/>
      <c r="H268" s="138"/>
      <c r="I268" s="138"/>
      <c r="J268" s="138"/>
    </row>
    <row r="269" spans="2:10" x14ac:dyDescent="0.3">
      <c r="B269" s="5" t="s">
        <v>196</v>
      </c>
      <c r="C269" s="140"/>
      <c r="D269" s="5"/>
      <c r="E269" s="141"/>
      <c r="F269" s="90">
        <v>2021</v>
      </c>
      <c r="G269" s="90">
        <f>+F269+1</f>
        <v>2022</v>
      </c>
      <c r="H269" s="90">
        <f>+G269+1</f>
        <v>2023</v>
      </c>
      <c r="I269" s="90">
        <f>+H269+1</f>
        <v>2024</v>
      </c>
      <c r="J269" s="90">
        <f>+I269+1</f>
        <v>2025</v>
      </c>
    </row>
    <row r="270" spans="2:10" ht="12.9" x14ac:dyDescent="0.35">
      <c r="C270" s="115"/>
      <c r="E270" s="138"/>
      <c r="G270" s="142"/>
      <c r="H270" s="142"/>
      <c r="I270" s="142"/>
      <c r="J270" s="142"/>
    </row>
    <row r="271" spans="2:10" x14ac:dyDescent="0.3">
      <c r="B271" s="17" t="s">
        <v>197</v>
      </c>
      <c r="C271" s="17"/>
      <c r="D271" s="18" t="s">
        <v>58</v>
      </c>
      <c r="F271" s="143" t="s">
        <v>198</v>
      </c>
      <c r="G271" s="144"/>
      <c r="H271" s="144"/>
      <c r="I271" s="144"/>
      <c r="J271" s="144"/>
    </row>
    <row r="272" spans="2:10" x14ac:dyDescent="0.3">
      <c r="B272" s="145" t="s">
        <v>199</v>
      </c>
      <c r="C272" s="13"/>
      <c r="D272" s="335"/>
      <c r="E272" s="147" t="s">
        <v>200</v>
      </c>
      <c r="F272" s="334"/>
      <c r="G272" s="334"/>
      <c r="H272" s="334"/>
      <c r="I272" s="334"/>
      <c r="J272" s="334"/>
    </row>
    <row r="273" spans="2:10" x14ac:dyDescent="0.3">
      <c r="B273" s="145" t="s">
        <v>201</v>
      </c>
      <c r="C273" s="13"/>
      <c r="D273" s="335"/>
      <c r="E273" s="147" t="s">
        <v>202</v>
      </c>
      <c r="F273" s="334"/>
      <c r="G273" s="334"/>
      <c r="H273" s="334"/>
      <c r="I273" s="334"/>
      <c r="J273" s="334"/>
    </row>
    <row r="274" spans="2:10" x14ac:dyDescent="0.3">
      <c r="B274" s="149" t="s">
        <v>203</v>
      </c>
      <c r="C274" s="17"/>
      <c r="D274" s="336"/>
      <c r="E274" s="147" t="s">
        <v>204</v>
      </c>
      <c r="F274" s="334"/>
      <c r="G274" s="334"/>
      <c r="H274" s="334"/>
      <c r="I274" s="334"/>
      <c r="J274" s="334"/>
    </row>
    <row r="275" spans="2:10" x14ac:dyDescent="0.3">
      <c r="B275" s="151" t="s">
        <v>205</v>
      </c>
      <c r="C275" s="13"/>
      <c r="D275" s="337"/>
      <c r="F275" s="152"/>
      <c r="G275" s="152"/>
      <c r="H275" s="152"/>
      <c r="I275" s="152"/>
    </row>
    <row r="276" spans="2:10" x14ac:dyDescent="0.3">
      <c r="D276" s="145"/>
      <c r="F276" s="152"/>
      <c r="G276" s="152"/>
      <c r="H276" s="152"/>
      <c r="I276" s="152"/>
    </row>
    <row r="277" spans="2:10" x14ac:dyDescent="0.3">
      <c r="B277" t="s">
        <v>206</v>
      </c>
      <c r="F277" s="274"/>
      <c r="G277" s="274"/>
      <c r="H277" s="274"/>
      <c r="I277" s="274"/>
      <c r="J277" s="274"/>
    </row>
    <row r="278" spans="2:10" ht="12.9" x14ac:dyDescent="0.35">
      <c r="B278" s="11" t="s">
        <v>116</v>
      </c>
      <c r="C278" s="2"/>
      <c r="D278" s="2"/>
      <c r="E278" s="2"/>
      <c r="F278" s="306"/>
      <c r="G278" s="306"/>
      <c r="H278" s="306"/>
      <c r="I278" s="306"/>
      <c r="J278" s="306"/>
    </row>
    <row r="279" spans="2:10" x14ac:dyDescent="0.3">
      <c r="C279" s="153"/>
    </row>
    <row r="280" spans="2:10" x14ac:dyDescent="0.3">
      <c r="B280" s="102" t="s">
        <v>207</v>
      </c>
      <c r="C280" s="153"/>
      <c r="F280" s="147"/>
    </row>
    <row r="281" spans="2:10" x14ac:dyDescent="0.3">
      <c r="B281" s="145" t="str">
        <f>+B272</f>
        <v>Minimum EBITDA</v>
      </c>
      <c r="C281" s="153"/>
      <c r="F281" s="313"/>
      <c r="G281" s="313"/>
      <c r="H281" s="313"/>
      <c r="I281" s="313"/>
      <c r="J281" s="313"/>
    </row>
    <row r="282" spans="2:10" x14ac:dyDescent="0.3">
      <c r="B282" s="145" t="str">
        <f>+B273</f>
        <v>Midpoint EBITDA</v>
      </c>
      <c r="C282" s="153"/>
      <c r="F282" s="338"/>
      <c r="G282" s="338"/>
      <c r="H282" s="338"/>
      <c r="I282" s="338"/>
      <c r="J282" s="338"/>
    </row>
    <row r="283" spans="2:10" x14ac:dyDescent="0.3">
      <c r="B283" s="149" t="str">
        <f>+B274</f>
        <v>Outperformance EBITDA</v>
      </c>
      <c r="C283" s="154"/>
      <c r="D283" s="9"/>
      <c r="E283" s="9"/>
      <c r="F283" s="339"/>
      <c r="G283" s="339"/>
      <c r="H283" s="339"/>
      <c r="I283" s="339"/>
      <c r="J283" s="339"/>
    </row>
    <row r="284" spans="2:10" x14ac:dyDescent="0.3">
      <c r="B284" s="151" t="s">
        <v>208</v>
      </c>
      <c r="C284" s="156"/>
      <c r="E284" s="13"/>
      <c r="F284" s="340"/>
      <c r="G284" s="340"/>
      <c r="H284" s="340"/>
      <c r="I284" s="340"/>
      <c r="J284" s="340"/>
    </row>
    <row r="285" spans="2:10" x14ac:dyDescent="0.3">
      <c r="B285" s="151"/>
      <c r="C285" s="156"/>
      <c r="E285" s="13"/>
      <c r="F285" s="157"/>
      <c r="G285" s="157"/>
      <c r="H285" s="157"/>
      <c r="I285" s="157"/>
      <c r="J285" s="157"/>
    </row>
    <row r="286" spans="2:10" x14ac:dyDescent="0.3">
      <c r="B286" s="158" t="s">
        <v>209</v>
      </c>
      <c r="C286" s="156"/>
      <c r="E286" s="13"/>
      <c r="F286" s="157"/>
      <c r="G286" s="157"/>
      <c r="H286" s="157"/>
      <c r="I286" s="157"/>
      <c r="J286" s="157"/>
    </row>
    <row r="287" spans="2:10" x14ac:dyDescent="0.3">
      <c r="B287" s="145" t="s">
        <v>210</v>
      </c>
      <c r="C287" s="153"/>
      <c r="F287" s="341"/>
      <c r="G287" s="341"/>
      <c r="H287" s="341"/>
      <c r="I287" s="341"/>
      <c r="J287" s="341"/>
    </row>
    <row r="288" spans="2:10" x14ac:dyDescent="0.3">
      <c r="B288" s="145" t="s">
        <v>211</v>
      </c>
      <c r="C288" s="153"/>
      <c r="F288" s="341"/>
      <c r="G288" s="341"/>
      <c r="H288" s="341"/>
      <c r="I288" s="341"/>
      <c r="J288" s="341"/>
    </row>
    <row r="289" spans="2:10" ht="12.9" x14ac:dyDescent="0.35">
      <c r="B289" s="160"/>
      <c r="C289" s="161"/>
      <c r="D289" s="2"/>
      <c r="E289" s="2"/>
      <c r="F289" s="162"/>
      <c r="G289" s="162"/>
      <c r="H289" s="162"/>
      <c r="I289" s="162"/>
      <c r="J289" s="162"/>
    </row>
    <row r="290" spans="2:10" x14ac:dyDescent="0.3">
      <c r="B290" s="102" t="s">
        <v>212</v>
      </c>
    </row>
    <row r="291" spans="2:10" x14ac:dyDescent="0.3">
      <c r="B291" s="145" t="str">
        <f>+B282</f>
        <v>Midpoint EBITDA</v>
      </c>
      <c r="F291" s="341"/>
      <c r="G291" s="341"/>
      <c r="H291" s="341"/>
      <c r="I291" s="341"/>
      <c r="J291" s="341"/>
    </row>
    <row r="292" spans="2:10" x14ac:dyDescent="0.3">
      <c r="B292" s="149" t="str">
        <f>+B283</f>
        <v>Outperformance EBITDA</v>
      </c>
      <c r="C292" s="9"/>
      <c r="D292" s="9"/>
      <c r="E292" s="9"/>
      <c r="F292" s="339"/>
      <c r="G292" s="339"/>
      <c r="H292" s="339"/>
      <c r="I292" s="339"/>
      <c r="J292" s="339"/>
    </row>
    <row r="293" spans="2:10" x14ac:dyDescent="0.3">
      <c r="B293" s="151" t="s">
        <v>212</v>
      </c>
      <c r="C293" s="13"/>
      <c r="D293" s="13"/>
      <c r="E293" s="13"/>
      <c r="F293" s="340"/>
      <c r="G293" s="340"/>
      <c r="H293" s="340"/>
      <c r="I293" s="340"/>
      <c r="J293" s="340"/>
    </row>
    <row r="294" spans="2:10" x14ac:dyDescent="0.3">
      <c r="B294" s="163"/>
      <c r="C294" s="9"/>
      <c r="D294" s="9"/>
      <c r="E294" s="9"/>
      <c r="F294" s="164"/>
      <c r="G294" s="164"/>
      <c r="H294" s="164"/>
      <c r="I294" s="164"/>
      <c r="J294" s="164"/>
    </row>
    <row r="295" spans="2:10" x14ac:dyDescent="0.3">
      <c r="B295" s="151" t="s">
        <v>213</v>
      </c>
      <c r="C295" s="13"/>
      <c r="D295" s="13"/>
      <c r="E295" s="13"/>
      <c r="F295" s="340"/>
      <c r="G295" s="340"/>
      <c r="H295" s="340"/>
      <c r="I295" s="340"/>
      <c r="J295" s="340"/>
    </row>
    <row r="296" spans="2:10" x14ac:dyDescent="0.3">
      <c r="B296" s="45"/>
      <c r="C296" s="165"/>
      <c r="D296" s="45"/>
      <c r="E296" s="142"/>
      <c r="F296" s="166"/>
      <c r="G296" s="142"/>
      <c r="H296" s="142"/>
      <c r="I296" s="142"/>
      <c r="J296" s="142"/>
    </row>
    <row r="297" spans="2:10" x14ac:dyDescent="0.3">
      <c r="B297" s="3" t="s">
        <v>214</v>
      </c>
      <c r="C297" s="3"/>
      <c r="D297" s="3"/>
      <c r="E297" s="3"/>
      <c r="F297" s="3"/>
      <c r="G297" s="3"/>
      <c r="H297" s="3"/>
      <c r="I297" s="3"/>
      <c r="J297" s="3"/>
    </row>
    <row r="299" spans="2:10" x14ac:dyDescent="0.3">
      <c r="B299" s="167" t="s">
        <v>215</v>
      </c>
      <c r="C299" s="167"/>
      <c r="D299" s="167"/>
      <c r="E299" s="167"/>
      <c r="F299" s="168">
        <v>2021</v>
      </c>
      <c r="G299" s="168">
        <f>+F299+1</f>
        <v>2022</v>
      </c>
      <c r="H299" s="168">
        <f>+G299+1</f>
        <v>2023</v>
      </c>
      <c r="I299" s="168">
        <f>+H299+1</f>
        <v>2024</v>
      </c>
      <c r="J299" s="168">
        <f>+I299+1</f>
        <v>2025</v>
      </c>
    </row>
    <row r="300" spans="2:10" x14ac:dyDescent="0.3">
      <c r="F300" s="169"/>
      <c r="G300" s="169"/>
    </row>
    <row r="301" spans="2:10" ht="12.9" x14ac:dyDescent="0.35">
      <c r="B301" s="2" t="s">
        <v>216</v>
      </c>
      <c r="C301" s="2"/>
      <c r="D301" s="2"/>
      <c r="E301" s="2"/>
      <c r="F301" s="116">
        <v>150</v>
      </c>
      <c r="G301" s="116">
        <f>+F301+25</f>
        <v>175</v>
      </c>
      <c r="H301" s="116">
        <f>+G301+25</f>
        <v>200</v>
      </c>
      <c r="I301" s="116">
        <f>+H301+25</f>
        <v>225</v>
      </c>
      <c r="J301" s="116">
        <f>+I301+25</f>
        <v>250</v>
      </c>
    </row>
    <row r="302" spans="2:10" ht="12.9" x14ac:dyDescent="0.35">
      <c r="B302" s="2"/>
      <c r="C302" s="2"/>
      <c r="D302" s="2"/>
      <c r="E302" s="2"/>
      <c r="F302" s="116"/>
      <c r="G302" s="116"/>
      <c r="H302" s="116"/>
      <c r="I302" s="116"/>
      <c r="J302" s="116"/>
    </row>
    <row r="303" spans="2:10" x14ac:dyDescent="0.3">
      <c r="B303" s="170" t="s">
        <v>217</v>
      </c>
      <c r="C303" s="1"/>
      <c r="D303" s="1"/>
      <c r="E303" s="1"/>
      <c r="F303" s="342"/>
      <c r="G303" s="342"/>
      <c r="H303" s="342"/>
      <c r="I303" s="342"/>
      <c r="J303" s="343"/>
    </row>
    <row r="304" spans="2:10" ht="12.9" x14ac:dyDescent="0.35">
      <c r="B304" s="173"/>
      <c r="C304" s="173"/>
      <c r="D304" s="173"/>
      <c r="E304" s="173"/>
      <c r="F304" s="174"/>
      <c r="G304" s="174"/>
      <c r="H304" s="174"/>
      <c r="I304" s="174"/>
      <c r="J304" s="174"/>
    </row>
    <row r="305" spans="2:10" x14ac:dyDescent="0.3">
      <c r="B305" s="102" t="s">
        <v>42</v>
      </c>
      <c r="C305" s="175"/>
      <c r="D305" s="175"/>
      <c r="E305" s="175"/>
    </row>
    <row r="306" spans="2:10" x14ac:dyDescent="0.3">
      <c r="B306" t="s">
        <v>218</v>
      </c>
      <c r="F306" s="274"/>
      <c r="G306" s="274"/>
      <c r="H306" s="274"/>
      <c r="I306" s="274"/>
      <c r="J306" s="274"/>
    </row>
    <row r="307" spans="2:10" x14ac:dyDescent="0.3">
      <c r="B307" s="9" t="s">
        <v>182</v>
      </c>
      <c r="C307" s="9"/>
      <c r="D307" s="9"/>
      <c r="E307" s="9"/>
      <c r="F307" s="307"/>
      <c r="G307" s="307"/>
      <c r="H307" s="307"/>
      <c r="I307" s="307"/>
      <c r="J307" s="307"/>
    </row>
    <row r="308" spans="2:10" x14ac:dyDescent="0.3">
      <c r="B308" s="13" t="s">
        <v>219</v>
      </c>
      <c r="C308" s="13"/>
      <c r="D308" s="13"/>
      <c r="E308" s="13"/>
      <c r="F308" s="289"/>
      <c r="G308" s="289"/>
      <c r="H308" s="289"/>
      <c r="I308" s="289"/>
      <c r="J308" s="289"/>
    </row>
    <row r="309" spans="2:10" x14ac:dyDescent="0.3">
      <c r="F309" s="62"/>
      <c r="G309" s="62"/>
      <c r="H309" s="62"/>
      <c r="I309" s="62"/>
      <c r="J309" s="62"/>
    </row>
    <row r="310" spans="2:10" x14ac:dyDescent="0.3">
      <c r="B310" t="s">
        <v>220</v>
      </c>
      <c r="F310" s="287"/>
      <c r="G310" s="287"/>
      <c r="H310" s="287"/>
      <c r="I310" s="287"/>
      <c r="J310" s="287"/>
    </row>
    <row r="311" spans="2:10" x14ac:dyDescent="0.3">
      <c r="B311" t="s">
        <v>221</v>
      </c>
      <c r="F311" s="287"/>
      <c r="G311" s="287"/>
      <c r="H311" s="287"/>
      <c r="I311" s="287"/>
      <c r="J311" s="287"/>
    </row>
    <row r="312" spans="2:10" x14ac:dyDescent="0.3">
      <c r="F312" s="58"/>
      <c r="G312" s="58"/>
      <c r="H312" s="58"/>
      <c r="I312" s="58"/>
      <c r="J312" s="58"/>
    </row>
    <row r="313" spans="2:10" x14ac:dyDescent="0.3">
      <c r="B313" s="176" t="s">
        <v>222</v>
      </c>
      <c r="F313" s="344"/>
      <c r="G313" s="344"/>
      <c r="H313" s="344"/>
      <c r="I313" s="344"/>
      <c r="J313" s="344"/>
    </row>
    <row r="314" spans="2:10" x14ac:dyDescent="0.3">
      <c r="F314" s="136"/>
      <c r="G314" s="136"/>
      <c r="H314" s="136"/>
      <c r="I314" s="136"/>
      <c r="J314" s="136"/>
    </row>
    <row r="315" spans="2:10" ht="12.9" x14ac:dyDescent="0.35">
      <c r="B315" t="s">
        <v>223</v>
      </c>
      <c r="F315" s="326"/>
      <c r="G315" s="326"/>
      <c r="H315" s="326"/>
      <c r="I315" s="326"/>
      <c r="J315" s="326"/>
    </row>
    <row r="316" spans="2:10" x14ac:dyDescent="0.3">
      <c r="B316" t="s">
        <v>224</v>
      </c>
      <c r="F316" s="274"/>
      <c r="G316" s="274"/>
      <c r="H316" s="274"/>
      <c r="I316" s="274"/>
      <c r="J316" s="274"/>
    </row>
    <row r="317" spans="2:10" x14ac:dyDescent="0.3">
      <c r="F317" s="62"/>
      <c r="G317" s="62"/>
      <c r="H317" s="62"/>
      <c r="I317" s="62"/>
      <c r="J317" s="62"/>
    </row>
    <row r="318" spans="2:10" x14ac:dyDescent="0.3">
      <c r="B318" t="s">
        <v>225</v>
      </c>
      <c r="F318" s="345"/>
      <c r="G318" s="345"/>
      <c r="H318" s="345"/>
      <c r="I318" s="345"/>
      <c r="J318" s="345"/>
    </row>
    <row r="319" spans="2:10" x14ac:dyDescent="0.3">
      <c r="F319" s="178"/>
      <c r="G319" s="178"/>
      <c r="H319" s="178"/>
      <c r="I319" s="178"/>
      <c r="J319" s="178"/>
    </row>
    <row r="320" spans="2:10" x14ac:dyDescent="0.3">
      <c r="B320" s="170" t="s">
        <v>226</v>
      </c>
      <c r="C320" s="1"/>
      <c r="D320" s="1"/>
      <c r="E320" s="1"/>
      <c r="F320" s="342"/>
      <c r="G320" s="342"/>
      <c r="H320" s="342"/>
      <c r="I320" s="342"/>
      <c r="J320" s="343"/>
    </row>
    <row r="321" spans="2:10" x14ac:dyDescent="0.3">
      <c r="F321" s="178"/>
      <c r="G321" s="178"/>
      <c r="H321" s="178"/>
      <c r="I321" s="178"/>
      <c r="J321" s="178"/>
    </row>
    <row r="322" spans="2:10" x14ac:dyDescent="0.3">
      <c r="B322" s="102" t="s">
        <v>43</v>
      </c>
      <c r="C322" s="175"/>
      <c r="D322" s="175"/>
      <c r="E322" s="175"/>
      <c r="F322" s="136"/>
      <c r="G322" s="136"/>
      <c r="H322" s="136"/>
      <c r="I322" s="136"/>
      <c r="J322" s="136"/>
    </row>
    <row r="323" spans="2:10" x14ac:dyDescent="0.3">
      <c r="B323" t="s">
        <v>218</v>
      </c>
      <c r="F323" s="287"/>
      <c r="G323" s="287"/>
      <c r="H323" s="287"/>
      <c r="I323" s="287"/>
      <c r="J323" s="287"/>
    </row>
    <row r="324" spans="2:10" x14ac:dyDescent="0.3">
      <c r="B324" t="s">
        <v>178</v>
      </c>
      <c r="F324" s="273"/>
      <c r="G324" s="273"/>
      <c r="H324" s="273"/>
      <c r="I324" s="273"/>
      <c r="J324" s="273"/>
    </row>
    <row r="325" spans="2:10" x14ac:dyDescent="0.3">
      <c r="B325" s="9" t="s">
        <v>184</v>
      </c>
      <c r="C325" s="9"/>
      <c r="D325" s="9"/>
      <c r="E325" s="9"/>
      <c r="F325" s="288"/>
      <c r="G325" s="288"/>
      <c r="H325" s="288"/>
      <c r="I325" s="288"/>
      <c r="J325" s="288"/>
    </row>
    <row r="326" spans="2:10" x14ac:dyDescent="0.3">
      <c r="B326" s="13" t="s">
        <v>219</v>
      </c>
      <c r="C326" s="13"/>
      <c r="D326" s="13"/>
      <c r="E326" s="13"/>
      <c r="F326" s="253"/>
      <c r="G326" s="253"/>
      <c r="H326" s="253"/>
      <c r="I326" s="253"/>
      <c r="J326" s="253"/>
    </row>
    <row r="327" spans="2:10" x14ac:dyDescent="0.3">
      <c r="F327" s="136"/>
      <c r="G327" s="136"/>
      <c r="H327" s="136"/>
      <c r="I327" s="136"/>
      <c r="J327" s="136"/>
    </row>
    <row r="328" spans="2:10" ht="12.9" x14ac:dyDescent="0.35">
      <c r="B328" t="s">
        <v>227</v>
      </c>
      <c r="F328" s="326"/>
      <c r="G328" s="326"/>
      <c r="H328" s="326"/>
      <c r="I328" s="326"/>
      <c r="J328" s="326"/>
    </row>
    <row r="329" spans="2:10" x14ac:dyDescent="0.3">
      <c r="B329" t="s">
        <v>228</v>
      </c>
      <c r="F329" s="287"/>
      <c r="G329" s="287"/>
      <c r="H329" s="287"/>
      <c r="I329" s="287"/>
      <c r="J329" s="287"/>
    </row>
    <row r="330" spans="2:10" x14ac:dyDescent="0.3">
      <c r="F330" s="179"/>
      <c r="G330" s="179"/>
      <c r="H330" s="179"/>
      <c r="I330" s="179"/>
      <c r="J330" s="179"/>
    </row>
    <row r="331" spans="2:10" x14ac:dyDescent="0.3">
      <c r="B331" s="102" t="s">
        <v>229</v>
      </c>
      <c r="C331" s="175"/>
      <c r="F331" s="180"/>
      <c r="G331" s="180"/>
      <c r="H331" s="180"/>
      <c r="I331" s="180"/>
      <c r="J331" s="180"/>
    </row>
    <row r="332" spans="2:10" x14ac:dyDescent="0.3">
      <c r="B332" t="s">
        <v>230</v>
      </c>
      <c r="F332" s="299"/>
      <c r="G332" s="287"/>
      <c r="H332" s="287"/>
      <c r="I332" s="287"/>
      <c r="J332" s="287"/>
    </row>
    <row r="333" spans="2:10" x14ac:dyDescent="0.3">
      <c r="B333" s="9" t="s">
        <v>231</v>
      </c>
      <c r="C333" s="9"/>
      <c r="D333" s="9"/>
      <c r="E333" s="9"/>
      <c r="F333" s="280"/>
      <c r="G333" s="288"/>
      <c r="H333" s="288"/>
      <c r="I333" s="288"/>
      <c r="J333" s="288"/>
    </row>
    <row r="334" spans="2:10" x14ac:dyDescent="0.3">
      <c r="B334" s="13" t="s">
        <v>232</v>
      </c>
      <c r="C334" s="13"/>
      <c r="D334" s="13"/>
      <c r="E334" s="13"/>
      <c r="F334" s="253"/>
      <c r="G334" s="253"/>
      <c r="H334" s="253"/>
      <c r="I334" s="253"/>
      <c r="J334" s="253"/>
    </row>
    <row r="335" spans="2:10" x14ac:dyDescent="0.3">
      <c r="F335" s="180"/>
      <c r="G335" s="180"/>
      <c r="H335" s="180"/>
      <c r="I335" s="180"/>
      <c r="J335" s="180"/>
    </row>
    <row r="336" spans="2:10" x14ac:dyDescent="0.3">
      <c r="B336" t="s">
        <v>233</v>
      </c>
      <c r="F336" s="180"/>
      <c r="G336" s="180"/>
      <c r="H336" s="346"/>
      <c r="I336" s="346"/>
      <c r="J336" s="346"/>
    </row>
    <row r="337" spans="2:10" x14ac:dyDescent="0.3">
      <c r="F337" s="180"/>
      <c r="G337" s="180"/>
      <c r="H337" s="180"/>
      <c r="I337" s="180"/>
      <c r="J337" s="180"/>
    </row>
    <row r="338" spans="2:10" x14ac:dyDescent="0.3">
      <c r="B338" s="102" t="s">
        <v>234</v>
      </c>
      <c r="F338" s="180"/>
      <c r="G338" s="180"/>
      <c r="H338" s="180"/>
      <c r="I338" s="180"/>
      <c r="J338" s="180"/>
    </row>
    <row r="339" spans="2:10" x14ac:dyDescent="0.3">
      <c r="B339" t="s">
        <v>235</v>
      </c>
      <c r="F339" s="180"/>
      <c r="G339" s="182"/>
      <c r="H339" s="347"/>
      <c r="I339" s="347"/>
      <c r="J339" s="347"/>
    </row>
    <row r="340" spans="2:10" x14ac:dyDescent="0.3">
      <c r="B340" s="176" t="s">
        <v>236</v>
      </c>
      <c r="F340" s="180"/>
      <c r="G340" s="180"/>
      <c r="H340" s="348"/>
      <c r="I340" s="348"/>
      <c r="J340" s="348"/>
    </row>
    <row r="341" spans="2:10" x14ac:dyDescent="0.3">
      <c r="B341" t="s">
        <v>237</v>
      </c>
      <c r="F341" s="180"/>
      <c r="G341" s="182"/>
      <c r="H341" s="347"/>
      <c r="I341" s="347"/>
      <c r="J341" s="347"/>
    </row>
    <row r="342" spans="2:10" x14ac:dyDescent="0.3">
      <c r="B342" s="176" t="s">
        <v>238</v>
      </c>
      <c r="F342" s="180"/>
      <c r="G342" s="180"/>
      <c r="H342" s="348"/>
      <c r="I342" s="348"/>
      <c r="J342" s="348"/>
    </row>
    <row r="343" spans="2:10" x14ac:dyDescent="0.3">
      <c r="F343" s="43"/>
      <c r="G343" s="43"/>
      <c r="H343" s="43"/>
      <c r="I343" s="43"/>
      <c r="J343" s="43"/>
    </row>
    <row r="344" spans="2:10" x14ac:dyDescent="0.3">
      <c r="B344" s="102" t="s">
        <v>239</v>
      </c>
      <c r="F344" s="180"/>
      <c r="G344" s="180"/>
      <c r="H344" s="184"/>
      <c r="I344" s="180"/>
      <c r="J344" s="180"/>
    </row>
    <row r="345" spans="2:10" x14ac:dyDescent="0.3">
      <c r="B345" t="s">
        <v>218</v>
      </c>
      <c r="F345" s="349"/>
      <c r="G345" s="349"/>
      <c r="H345" s="349"/>
      <c r="I345" s="350"/>
      <c r="J345" s="350"/>
    </row>
    <row r="346" spans="2:10" x14ac:dyDescent="0.3">
      <c r="B346" s="9" t="s">
        <v>240</v>
      </c>
      <c r="C346" s="9"/>
      <c r="D346" s="9"/>
      <c r="E346" s="9"/>
      <c r="F346" s="279"/>
      <c r="G346" s="279"/>
      <c r="H346" s="351"/>
      <c r="I346" s="351"/>
      <c r="J346" s="351"/>
    </row>
    <row r="347" spans="2:10" x14ac:dyDescent="0.3">
      <c r="B347" s="13" t="s">
        <v>219</v>
      </c>
      <c r="C347" s="13"/>
      <c r="D347" s="13"/>
      <c r="E347" s="13"/>
      <c r="F347" s="253"/>
      <c r="G347" s="253"/>
      <c r="H347" s="253"/>
      <c r="I347" s="253"/>
      <c r="J347" s="253"/>
    </row>
    <row r="348" spans="2:10" x14ac:dyDescent="0.3">
      <c r="F348" s="179"/>
      <c r="G348" s="179"/>
      <c r="H348" s="179"/>
      <c r="I348" s="179"/>
      <c r="J348" s="179"/>
    </row>
    <row r="349" spans="2:10" ht="12.9" x14ac:dyDescent="0.35">
      <c r="B349" t="s">
        <v>241</v>
      </c>
      <c r="F349" s="352"/>
      <c r="G349" s="352"/>
      <c r="H349" s="326"/>
      <c r="I349" s="326"/>
      <c r="J349" s="326"/>
    </row>
    <row r="350" spans="2:10" ht="12.9" x14ac:dyDescent="0.35">
      <c r="B350" t="s">
        <v>242</v>
      </c>
      <c r="F350" s="352"/>
      <c r="G350" s="352"/>
      <c r="H350" s="287"/>
      <c r="I350" s="287"/>
      <c r="J350" s="287"/>
    </row>
    <row r="351" spans="2:10" x14ac:dyDescent="0.3">
      <c r="F351" s="58"/>
      <c r="G351" s="58"/>
      <c r="H351" s="58"/>
      <c r="I351" s="58"/>
      <c r="J351" s="58"/>
    </row>
    <row r="352" spans="2:10" ht="12.9" x14ac:dyDescent="0.35">
      <c r="B352" t="s">
        <v>243</v>
      </c>
      <c r="F352" s="353"/>
      <c r="G352" s="353"/>
      <c r="H352" s="287"/>
      <c r="I352" s="287"/>
      <c r="J352" s="287"/>
    </row>
    <row r="353" spans="2:10" x14ac:dyDescent="0.3">
      <c r="F353" s="180"/>
      <c r="G353" s="180"/>
      <c r="H353" s="180"/>
      <c r="I353" s="180"/>
      <c r="J353" s="180"/>
    </row>
    <row r="354" spans="2:10" x14ac:dyDescent="0.3">
      <c r="B354" s="3" t="s">
        <v>244</v>
      </c>
      <c r="C354" s="3"/>
      <c r="D354" s="3"/>
      <c r="E354" s="3"/>
      <c r="F354" s="188"/>
      <c r="G354" s="188"/>
      <c r="H354" s="188"/>
      <c r="I354" s="188"/>
      <c r="J354" s="188"/>
    </row>
    <row r="355" spans="2:10" x14ac:dyDescent="0.3">
      <c r="B355" s="3"/>
      <c r="C355" s="3"/>
      <c r="D355" s="3"/>
      <c r="E355" s="3"/>
      <c r="F355" s="188"/>
      <c r="G355" s="188"/>
      <c r="H355" s="188"/>
      <c r="I355" s="188"/>
      <c r="J355" s="188"/>
    </row>
    <row r="356" spans="2:10" x14ac:dyDescent="0.3">
      <c r="B356" s="167" t="s">
        <v>245</v>
      </c>
      <c r="C356" s="189"/>
      <c r="D356" s="189"/>
      <c r="F356" s="167" t="s">
        <v>246</v>
      </c>
      <c r="G356" s="167"/>
      <c r="H356" s="167"/>
      <c r="I356" s="167"/>
      <c r="J356" s="167"/>
    </row>
    <row r="357" spans="2:10" x14ac:dyDescent="0.3">
      <c r="B357" s="1" t="s">
        <v>247</v>
      </c>
      <c r="C357" s="1"/>
      <c r="D357" s="37" t="s">
        <v>248</v>
      </c>
      <c r="F357" t="s">
        <v>249</v>
      </c>
      <c r="G357" s="188"/>
      <c r="H357" s="188"/>
      <c r="I357" s="188"/>
      <c r="J357" s="276"/>
    </row>
    <row r="358" spans="2:10" x14ac:dyDescent="0.3">
      <c r="B358" s="190" t="s">
        <v>250</v>
      </c>
      <c r="D358" s="354"/>
      <c r="F358" t="s">
        <v>251</v>
      </c>
      <c r="G358" s="188"/>
      <c r="H358" s="188"/>
      <c r="I358" s="188"/>
      <c r="J358" s="275"/>
    </row>
    <row r="359" spans="2:10" x14ac:dyDescent="0.3">
      <c r="B359" s="9" t="s">
        <v>252</v>
      </c>
      <c r="C359" s="9"/>
      <c r="D359" s="355"/>
      <c r="F359" s="9" t="s">
        <v>253</v>
      </c>
      <c r="G359" s="193"/>
      <c r="H359" s="193"/>
      <c r="I359" s="193"/>
      <c r="J359" s="280"/>
    </row>
    <row r="360" spans="2:10" x14ac:dyDescent="0.3">
      <c r="B360" s="13" t="s">
        <v>66</v>
      </c>
      <c r="C360" s="13"/>
      <c r="D360" s="356"/>
      <c r="F360" s="13" t="s">
        <v>254</v>
      </c>
      <c r="G360" s="180"/>
      <c r="H360" s="180"/>
      <c r="I360" s="180"/>
      <c r="J360" s="256"/>
    </row>
    <row r="361" spans="2:10" x14ac:dyDescent="0.3">
      <c r="B361" t="s">
        <v>255</v>
      </c>
      <c r="D361" s="357"/>
      <c r="F361" s="180"/>
      <c r="G361" s="180"/>
      <c r="H361" s="180"/>
      <c r="I361" s="180"/>
      <c r="J361" s="180"/>
    </row>
    <row r="362" spans="2:10" x14ac:dyDescent="0.3">
      <c r="D362" s="195"/>
      <c r="F362" s="180"/>
      <c r="G362" s="180"/>
      <c r="H362" s="180"/>
      <c r="I362" s="180"/>
      <c r="J362" s="180"/>
    </row>
    <row r="363" spans="2:10" x14ac:dyDescent="0.3">
      <c r="B363" s="17" t="s">
        <v>256</v>
      </c>
      <c r="C363" s="9"/>
      <c r="D363" s="18" t="s">
        <v>248</v>
      </c>
      <c r="F363" s="167" t="s">
        <v>257</v>
      </c>
      <c r="G363" s="189"/>
      <c r="H363" s="189"/>
      <c r="I363" s="189"/>
      <c r="J363" s="189"/>
    </row>
    <row r="364" spans="2:10" x14ac:dyDescent="0.3">
      <c r="B364" s="196" t="s">
        <v>250</v>
      </c>
      <c r="C364" s="197"/>
      <c r="D364" s="358"/>
      <c r="F364" t="s">
        <v>258</v>
      </c>
      <c r="J364" s="361"/>
    </row>
    <row r="365" spans="2:10" x14ac:dyDescent="0.3">
      <c r="B365" s="200" t="s">
        <v>255</v>
      </c>
      <c r="C365" s="200"/>
      <c r="D365" s="359"/>
      <c r="F365" t="s">
        <v>259</v>
      </c>
      <c r="J365" s="268"/>
    </row>
    <row r="366" spans="2:10" x14ac:dyDescent="0.3">
      <c r="B366" s="202" t="s">
        <v>66</v>
      </c>
      <c r="C366" s="202"/>
      <c r="D366" s="360"/>
      <c r="F366" t="s">
        <v>260</v>
      </c>
      <c r="J366" s="276"/>
    </row>
    <row r="367" spans="2:10" x14ac:dyDescent="0.3">
      <c r="F367" t="s">
        <v>261</v>
      </c>
      <c r="J367" s="276"/>
    </row>
    <row r="368" spans="2:10" x14ac:dyDescent="0.3">
      <c r="F368" t="s">
        <v>262</v>
      </c>
      <c r="J368" s="354"/>
    </row>
    <row r="369" spans="2:10" x14ac:dyDescent="0.3">
      <c r="F369" t="s">
        <v>263</v>
      </c>
      <c r="J369" s="361"/>
    </row>
    <row r="370" spans="2:10" x14ac:dyDescent="0.3">
      <c r="F370" t="s">
        <v>264</v>
      </c>
      <c r="J370" s="287"/>
    </row>
    <row r="371" spans="2:10" x14ac:dyDescent="0.3">
      <c r="F371" t="s">
        <v>265</v>
      </c>
      <c r="J371" s="361"/>
    </row>
    <row r="372" spans="2:10" x14ac:dyDescent="0.3">
      <c r="F372" t="s">
        <v>266</v>
      </c>
      <c r="J372" s="273"/>
    </row>
    <row r="373" spans="2:10" x14ac:dyDescent="0.3">
      <c r="F373" s="180"/>
      <c r="J373" s="199"/>
    </row>
    <row r="374" spans="2:10" x14ac:dyDescent="0.3">
      <c r="B374" s="167" t="s">
        <v>6</v>
      </c>
      <c r="C374" s="167"/>
      <c r="D374" s="167"/>
      <c r="E374" s="167"/>
      <c r="F374" s="90">
        <v>2021</v>
      </c>
      <c r="G374" s="90">
        <f>+F374+1</f>
        <v>2022</v>
      </c>
      <c r="H374" s="90">
        <f>+G374+1</f>
        <v>2023</v>
      </c>
      <c r="I374" s="90">
        <f>+H374+1</f>
        <v>2024</v>
      </c>
      <c r="J374" s="90">
        <f>+I374+1</f>
        <v>2025</v>
      </c>
    </row>
    <row r="375" spans="2:10" x14ac:dyDescent="0.3">
      <c r="B375" t="s">
        <v>249</v>
      </c>
      <c r="F375" s="276"/>
      <c r="G375" s="276"/>
      <c r="H375" s="276"/>
      <c r="I375" s="276"/>
      <c r="J375" s="276"/>
    </row>
    <row r="376" spans="2:10" x14ac:dyDescent="0.3">
      <c r="B376" t="s">
        <v>251</v>
      </c>
      <c r="F376" s="362"/>
      <c r="G376" s="362"/>
      <c r="H376" s="362"/>
      <c r="I376" s="362"/>
      <c r="J376" s="362"/>
    </row>
    <row r="377" spans="2:10" x14ac:dyDescent="0.3">
      <c r="B377" s="9" t="s">
        <v>267</v>
      </c>
      <c r="C377" s="9"/>
      <c r="D377" s="9"/>
      <c r="E377" s="9"/>
      <c r="F377" s="307"/>
      <c r="G377" s="307"/>
      <c r="H377" s="307"/>
      <c r="I377" s="307"/>
      <c r="J377" s="307"/>
    </row>
    <row r="378" spans="2:10" x14ac:dyDescent="0.3">
      <c r="B378" s="13" t="s">
        <v>268</v>
      </c>
      <c r="C378" s="13"/>
      <c r="F378" s="363"/>
      <c r="G378" s="363"/>
      <c r="H378" s="363"/>
      <c r="I378" s="363"/>
      <c r="J378" s="363"/>
    </row>
    <row r="379" spans="2:10" x14ac:dyDescent="0.3">
      <c r="B379" s="13"/>
      <c r="C379" s="13"/>
      <c r="F379" s="204"/>
      <c r="G379" s="204"/>
      <c r="H379" s="204"/>
      <c r="I379" s="204"/>
      <c r="J379" s="204"/>
    </row>
    <row r="380" spans="2:10" x14ac:dyDescent="0.3">
      <c r="B380" s="170" t="s">
        <v>269</v>
      </c>
      <c r="C380" s="1"/>
      <c r="D380" s="1"/>
      <c r="E380" s="205"/>
      <c r="F380" s="364"/>
      <c r="G380" s="364"/>
      <c r="H380" s="364"/>
      <c r="I380" s="364"/>
      <c r="J380" s="365"/>
    </row>
    <row r="381" spans="2:10" x14ac:dyDescent="0.3">
      <c r="F381" s="180"/>
      <c r="G381" s="180"/>
      <c r="H381" s="180"/>
      <c r="I381" s="180"/>
      <c r="J381" s="180"/>
    </row>
    <row r="382" spans="2:10" x14ac:dyDescent="0.3">
      <c r="B382" s="3" t="s">
        <v>270</v>
      </c>
      <c r="C382" s="3"/>
      <c r="D382" s="3"/>
      <c r="E382" s="3"/>
      <c r="F382" s="3"/>
      <c r="G382" s="3"/>
      <c r="H382" s="3"/>
      <c r="I382" s="3"/>
      <c r="J382" s="3"/>
    </row>
    <row r="384" spans="2:10" x14ac:dyDescent="0.3">
      <c r="B384" s="5" t="s">
        <v>271</v>
      </c>
      <c r="C384" s="5"/>
      <c r="D384" s="5"/>
      <c r="E384" s="5"/>
      <c r="F384" s="90">
        <v>2021</v>
      </c>
      <c r="G384" s="90">
        <f>+F384+1</f>
        <v>2022</v>
      </c>
      <c r="H384" s="90">
        <f>+G384+1</f>
        <v>2023</v>
      </c>
      <c r="I384" s="90">
        <f>+H384+1</f>
        <v>2024</v>
      </c>
      <c r="J384" s="90">
        <f>+I384+1</f>
        <v>2025</v>
      </c>
    </row>
    <row r="386" spans="2:10" x14ac:dyDescent="0.3">
      <c r="B386" s="13" t="s">
        <v>272</v>
      </c>
      <c r="C386" s="13"/>
      <c r="D386" s="13"/>
      <c r="E386" s="208"/>
      <c r="F386" s="253"/>
      <c r="G386" s="253"/>
      <c r="H386" s="253"/>
      <c r="I386" s="253"/>
      <c r="J386" s="253"/>
    </row>
    <row r="387" spans="2:10" x14ac:dyDescent="0.3">
      <c r="B387" s="9" t="s">
        <v>273</v>
      </c>
      <c r="C387" s="9"/>
      <c r="D387" s="9"/>
      <c r="E387" s="209"/>
      <c r="F387" s="366"/>
      <c r="G387" s="367"/>
      <c r="H387" s="367"/>
      <c r="I387" s="367"/>
      <c r="J387" s="367"/>
    </row>
    <row r="388" spans="2:10" x14ac:dyDescent="0.3">
      <c r="B388" s="13" t="s">
        <v>274</v>
      </c>
      <c r="C388" s="13"/>
      <c r="D388" s="13"/>
      <c r="E388" s="208"/>
      <c r="F388" s="253"/>
      <c r="G388" s="253"/>
      <c r="H388" s="253"/>
      <c r="I388" s="253"/>
      <c r="J388" s="253"/>
    </row>
    <row r="389" spans="2:10" x14ac:dyDescent="0.3">
      <c r="B389" s="9" t="s">
        <v>275</v>
      </c>
      <c r="C389" s="9"/>
      <c r="D389" s="9"/>
      <c r="E389" s="209"/>
      <c r="F389" s="288"/>
      <c r="G389" s="288"/>
      <c r="H389" s="288"/>
      <c r="I389" s="288"/>
      <c r="J389" s="288"/>
    </row>
    <row r="390" spans="2:10" x14ac:dyDescent="0.3">
      <c r="B390" s="13" t="s">
        <v>276</v>
      </c>
      <c r="C390" s="13"/>
      <c r="D390" s="13"/>
      <c r="E390" s="208"/>
      <c r="F390" s="253"/>
      <c r="G390" s="253"/>
      <c r="H390" s="253"/>
      <c r="I390" s="253"/>
      <c r="J390" s="253"/>
    </row>
    <row r="391" spans="2:10" x14ac:dyDescent="0.3">
      <c r="B391" s="13"/>
      <c r="C391" s="13"/>
      <c r="D391" s="13"/>
      <c r="E391" s="208"/>
      <c r="F391" s="16"/>
      <c r="G391" s="16"/>
      <c r="H391" s="16"/>
      <c r="I391" s="16"/>
      <c r="J391" s="16"/>
    </row>
    <row r="392" spans="2:10" x14ac:dyDescent="0.3">
      <c r="B392" s="17" t="s">
        <v>277</v>
      </c>
      <c r="C392" s="9"/>
      <c r="D392" s="9"/>
      <c r="E392" s="212"/>
      <c r="F392" s="132"/>
      <c r="G392" s="132"/>
      <c r="H392" s="132"/>
      <c r="I392" s="132"/>
      <c r="J392" s="132"/>
    </row>
    <row r="393" spans="2:10" x14ac:dyDescent="0.3">
      <c r="B393" t="s">
        <v>278</v>
      </c>
      <c r="E393" s="213"/>
      <c r="F393" s="350"/>
      <c r="G393" s="350"/>
      <c r="H393" s="350"/>
      <c r="I393" s="350"/>
      <c r="J393" s="350"/>
    </row>
    <row r="394" spans="2:10" x14ac:dyDescent="0.3">
      <c r="B394" t="s">
        <v>279</v>
      </c>
      <c r="E394" s="213"/>
      <c r="F394" s="350"/>
      <c r="G394" s="350"/>
      <c r="H394" s="350"/>
      <c r="I394" s="350"/>
      <c r="J394" s="350"/>
    </row>
    <row r="395" spans="2:10" x14ac:dyDescent="0.3">
      <c r="F395" s="214"/>
      <c r="G395" s="214"/>
      <c r="H395" s="214"/>
      <c r="I395" s="214"/>
      <c r="J395" s="214"/>
    </row>
    <row r="396" spans="2:10" x14ac:dyDescent="0.3">
      <c r="B396" t="s">
        <v>280</v>
      </c>
      <c r="D396" s="147" t="s">
        <v>281</v>
      </c>
      <c r="E396" s="368"/>
      <c r="F396" s="287"/>
      <c r="G396" s="287"/>
      <c r="H396" s="287"/>
      <c r="I396" s="287"/>
      <c r="J396" s="287"/>
    </row>
    <row r="397" spans="2:10" x14ac:dyDescent="0.3">
      <c r="B397" t="s">
        <v>282</v>
      </c>
      <c r="C397" s="45"/>
      <c r="D397" s="147" t="s">
        <v>283</v>
      </c>
      <c r="E397" s="369"/>
      <c r="F397" s="275"/>
      <c r="G397" s="275"/>
      <c r="H397" s="276"/>
      <c r="I397" s="276"/>
      <c r="J397" s="276"/>
    </row>
    <row r="398" spans="2:10" x14ac:dyDescent="0.3">
      <c r="B398" s="9" t="s">
        <v>284</v>
      </c>
      <c r="C398" s="94"/>
      <c r="D398" s="94"/>
      <c r="E398" s="94"/>
      <c r="F398" s="288"/>
      <c r="G398" s="288"/>
      <c r="H398" s="288"/>
      <c r="I398" s="288"/>
      <c r="J398" s="288"/>
    </row>
    <row r="399" spans="2:10" x14ac:dyDescent="0.3">
      <c r="B399" s="13" t="s">
        <v>285</v>
      </c>
      <c r="C399" s="13"/>
      <c r="D399" s="13"/>
      <c r="E399" s="208"/>
      <c r="F399" s="253"/>
      <c r="G399" s="253"/>
      <c r="H399" s="253"/>
      <c r="I399" s="253"/>
      <c r="J399" s="253"/>
    </row>
    <row r="401" spans="2:10" x14ac:dyDescent="0.3">
      <c r="B401" s="98" t="s">
        <v>286</v>
      </c>
      <c r="C401" s="98"/>
      <c r="D401" s="98"/>
      <c r="E401" s="217">
        <v>2020</v>
      </c>
      <c r="F401" s="218">
        <f>+E401+1</f>
        <v>2021</v>
      </c>
      <c r="G401" s="218">
        <f>+F401+1</f>
        <v>2022</v>
      </c>
      <c r="H401" s="218">
        <f>+G401+1</f>
        <v>2023</v>
      </c>
      <c r="I401" s="218">
        <f>+H401+1</f>
        <v>2024</v>
      </c>
      <c r="J401" s="218">
        <f>+I401+1</f>
        <v>2025</v>
      </c>
    </row>
    <row r="402" spans="2:10" ht="12.9" x14ac:dyDescent="0.35">
      <c r="B402" s="175"/>
      <c r="E402" s="219">
        <v>44196</v>
      </c>
      <c r="F402" s="219">
        <f>+EOMONTH(E402,12)</f>
        <v>44561</v>
      </c>
      <c r="G402" s="219">
        <f>+EOMONTH(F402,12)</f>
        <v>44926</v>
      </c>
      <c r="H402" s="219">
        <f>+EOMONTH(G402,12)</f>
        <v>45291</v>
      </c>
      <c r="I402" s="219">
        <f>+EOMONTH(H402,12)</f>
        <v>45657</v>
      </c>
      <c r="J402" s="219">
        <f>+EOMONTH(I402,12)</f>
        <v>46022</v>
      </c>
    </row>
    <row r="403" spans="2:10" x14ac:dyDescent="0.3">
      <c r="B403" s="220">
        <v>2021</v>
      </c>
      <c r="E403" s="370"/>
      <c r="F403" s="370"/>
      <c r="G403" s="370"/>
      <c r="H403" s="370"/>
      <c r="I403" s="370"/>
      <c r="J403" s="370"/>
    </row>
    <row r="404" spans="2:10" x14ac:dyDescent="0.3">
      <c r="B404" s="220">
        <f>+B403+1</f>
        <v>2022</v>
      </c>
      <c r="E404" s="370"/>
      <c r="F404" s="370"/>
      <c r="G404" s="370"/>
      <c r="H404" s="370"/>
      <c r="I404" s="370"/>
      <c r="J404" s="370"/>
    </row>
    <row r="405" spans="2:10" x14ac:dyDescent="0.3">
      <c r="B405" s="220">
        <f>+B404+1</f>
        <v>2023</v>
      </c>
      <c r="E405" s="370"/>
      <c r="F405" s="370"/>
      <c r="G405" s="370"/>
      <c r="H405" s="370"/>
      <c r="I405" s="370"/>
      <c r="J405" s="370"/>
    </row>
    <row r="406" spans="2:10" x14ac:dyDescent="0.3">
      <c r="B406" s="220">
        <f>+B405+1</f>
        <v>2024</v>
      </c>
      <c r="E406" s="370"/>
      <c r="F406" s="370"/>
      <c r="G406" s="370"/>
      <c r="H406" s="370"/>
      <c r="I406" s="370"/>
      <c r="J406" s="370"/>
    </row>
    <row r="407" spans="2:10" x14ac:dyDescent="0.3">
      <c r="B407" s="220">
        <f>+B406+1</f>
        <v>2025</v>
      </c>
      <c r="E407" s="370"/>
      <c r="F407" s="370"/>
      <c r="G407" s="370"/>
      <c r="H407" s="370"/>
      <c r="I407" s="370"/>
      <c r="J407" s="370"/>
    </row>
    <row r="408" spans="2:10" x14ac:dyDescent="0.3">
      <c r="B408" s="220"/>
      <c r="C408" s="222"/>
      <c r="D408" s="223"/>
      <c r="E408" s="152"/>
      <c r="F408" s="152"/>
      <c r="G408" s="152"/>
      <c r="H408" s="152"/>
      <c r="I408" s="152"/>
      <c r="J408" s="152"/>
    </row>
    <row r="409" spans="2:10" x14ac:dyDescent="0.3">
      <c r="B409" s="224" t="s">
        <v>287</v>
      </c>
      <c r="C409" s="225"/>
      <c r="D409" s="226"/>
      <c r="E409" s="227"/>
      <c r="F409" s="228"/>
      <c r="G409" s="228"/>
      <c r="H409" s="228"/>
      <c r="I409" s="228"/>
      <c r="J409" s="229"/>
    </row>
    <row r="410" spans="2:10" x14ac:dyDescent="0.3">
      <c r="B410" s="230" t="s">
        <v>288</v>
      </c>
      <c r="C410" s="231"/>
      <c r="D410" s="232"/>
      <c r="E410" s="233"/>
      <c r="F410" s="234"/>
      <c r="G410" s="234"/>
      <c r="H410" s="234"/>
      <c r="I410" s="234"/>
      <c r="J410" s="235"/>
    </row>
    <row r="411" spans="2:10" x14ac:dyDescent="0.3">
      <c r="B411" s="220"/>
      <c r="C411" s="222"/>
      <c r="D411" s="223"/>
      <c r="E411" s="152"/>
      <c r="F411" s="152"/>
      <c r="G411" s="152"/>
      <c r="H411" s="152"/>
      <c r="I411" s="152"/>
      <c r="J411" s="152"/>
    </row>
    <row r="412" spans="2:10" x14ac:dyDescent="0.3">
      <c r="B412" s="71" t="s">
        <v>289</v>
      </c>
      <c r="C412" s="236"/>
      <c r="D412" s="237"/>
      <c r="E412" s="238"/>
      <c r="F412" s="238"/>
      <c r="G412" s="238"/>
      <c r="H412" s="238"/>
      <c r="I412" s="238"/>
      <c r="J412" s="238"/>
    </row>
    <row r="414" spans="2:10" x14ac:dyDescent="0.3">
      <c r="D414" s="239" t="s">
        <v>290</v>
      </c>
      <c r="E414" s="240"/>
      <c r="F414" s="240"/>
      <c r="G414" s="240"/>
      <c r="H414" s="240"/>
      <c r="I414" s="240"/>
      <c r="J414" s="241"/>
    </row>
    <row r="416" spans="2:10" x14ac:dyDescent="0.3">
      <c r="D416" s="3" t="s">
        <v>291</v>
      </c>
      <c r="E416" s="4"/>
      <c r="F416" s="4"/>
      <c r="G416" s="4"/>
      <c r="H416" s="4"/>
      <c r="I416" s="4"/>
      <c r="J416" s="4"/>
    </row>
    <row r="417" spans="2:10" x14ac:dyDescent="0.3">
      <c r="C417" s="371"/>
      <c r="D417" s="372"/>
      <c r="E417" s="372"/>
      <c r="F417" s="372"/>
      <c r="G417" s="373"/>
      <c r="H417" s="372"/>
      <c r="I417" s="372"/>
      <c r="J417" s="372"/>
    </row>
    <row r="418" spans="2:10" x14ac:dyDescent="0.3">
      <c r="C418" s="374"/>
      <c r="D418" s="375"/>
      <c r="E418" s="375"/>
      <c r="F418" s="375"/>
      <c r="G418" s="375"/>
      <c r="H418" s="375"/>
      <c r="I418" s="375"/>
      <c r="J418" s="375"/>
    </row>
    <row r="419" spans="2:10" x14ac:dyDescent="0.3">
      <c r="C419" s="374"/>
      <c r="D419" s="375"/>
      <c r="E419" s="375"/>
      <c r="F419" s="375"/>
      <c r="G419" s="375"/>
      <c r="H419" s="375"/>
      <c r="I419" s="375"/>
      <c r="J419" s="375"/>
    </row>
    <row r="420" spans="2:10" x14ac:dyDescent="0.3">
      <c r="B420" s="28" t="s">
        <v>292</v>
      </c>
      <c r="C420" s="374"/>
      <c r="D420" s="375"/>
      <c r="E420" s="375"/>
      <c r="F420" s="375"/>
      <c r="G420" s="375"/>
      <c r="H420" s="375"/>
      <c r="I420" s="375"/>
      <c r="J420" s="375"/>
    </row>
    <row r="421" spans="2:10" x14ac:dyDescent="0.3">
      <c r="B421" s="28" t="s">
        <v>293</v>
      </c>
      <c r="C421" s="361"/>
      <c r="D421" s="375"/>
      <c r="E421" s="375"/>
      <c r="F421" s="375"/>
      <c r="G421" s="375"/>
      <c r="H421" s="375"/>
      <c r="I421" s="375"/>
      <c r="J421" s="375"/>
    </row>
    <row r="422" spans="2:10" x14ac:dyDescent="0.3">
      <c r="C422" s="374"/>
      <c r="D422" s="375"/>
      <c r="E422" s="375"/>
      <c r="F422" s="375"/>
      <c r="G422" s="375"/>
      <c r="H422" s="375"/>
      <c r="I422" s="375"/>
      <c r="J422" s="375"/>
    </row>
    <row r="423" spans="2:10" x14ac:dyDescent="0.3">
      <c r="C423" s="374"/>
      <c r="D423" s="375"/>
      <c r="E423" s="375"/>
      <c r="F423" s="375"/>
      <c r="G423" s="375"/>
      <c r="H423" s="375"/>
      <c r="I423" s="375"/>
      <c r="J423" s="375"/>
    </row>
    <row r="424" spans="2:10" x14ac:dyDescent="0.3">
      <c r="C424" s="374"/>
      <c r="D424" s="375"/>
      <c r="E424" s="375"/>
      <c r="F424" s="375"/>
      <c r="G424" s="375"/>
      <c r="H424" s="375"/>
      <c r="I424" s="375"/>
      <c r="J424" s="375"/>
    </row>
    <row r="426" spans="2:10" x14ac:dyDescent="0.3">
      <c r="D426" s="239" t="s">
        <v>294</v>
      </c>
      <c r="E426" s="240"/>
      <c r="F426" s="240"/>
      <c r="G426" s="240"/>
      <c r="H426" s="240"/>
      <c r="I426" s="240"/>
      <c r="J426" s="241"/>
    </row>
    <row r="428" spans="2:10" x14ac:dyDescent="0.3">
      <c r="D428" s="3" t="s">
        <v>291</v>
      </c>
      <c r="E428" s="4"/>
      <c r="F428" s="4"/>
      <c r="G428" s="4"/>
      <c r="H428" s="4"/>
      <c r="I428" s="4"/>
      <c r="J428" s="4"/>
    </row>
    <row r="429" spans="2:10" x14ac:dyDescent="0.3">
      <c r="C429" s="376"/>
      <c r="D429" s="372"/>
      <c r="E429" s="372"/>
      <c r="F429" s="372"/>
      <c r="G429" s="373"/>
      <c r="H429" s="372"/>
      <c r="I429" s="372"/>
      <c r="J429" s="372"/>
    </row>
    <row r="430" spans="2:10" x14ac:dyDescent="0.3">
      <c r="C430" s="374"/>
      <c r="D430" s="377"/>
      <c r="E430" s="377"/>
      <c r="F430" s="377"/>
      <c r="G430" s="377"/>
      <c r="H430" s="377"/>
      <c r="I430" s="377"/>
      <c r="J430" s="377"/>
    </row>
    <row r="431" spans="2:10" x14ac:dyDescent="0.3">
      <c r="C431" s="374"/>
      <c r="D431" s="377"/>
      <c r="E431" s="377"/>
      <c r="F431" s="377"/>
      <c r="G431" s="377"/>
      <c r="H431" s="377"/>
      <c r="I431" s="377"/>
      <c r="J431" s="377"/>
    </row>
    <row r="432" spans="2:10" x14ac:dyDescent="0.3">
      <c r="B432" s="28" t="s">
        <v>292</v>
      </c>
      <c r="C432" s="374"/>
      <c r="D432" s="377"/>
      <c r="E432" s="377"/>
      <c r="F432" s="377"/>
      <c r="G432" s="377"/>
      <c r="H432" s="377"/>
      <c r="I432" s="377"/>
      <c r="J432" s="377"/>
    </row>
    <row r="433" spans="2:10" x14ac:dyDescent="0.3">
      <c r="B433" s="28" t="s">
        <v>293</v>
      </c>
      <c r="C433" s="361"/>
      <c r="D433" s="377"/>
      <c r="E433" s="377"/>
      <c r="F433" s="377"/>
      <c r="G433" s="377"/>
      <c r="H433" s="377"/>
      <c r="I433" s="377"/>
      <c r="J433" s="377"/>
    </row>
    <row r="434" spans="2:10" x14ac:dyDescent="0.3">
      <c r="C434" s="374"/>
      <c r="D434" s="377"/>
      <c r="E434" s="377"/>
      <c r="F434" s="377"/>
      <c r="G434" s="377"/>
      <c r="H434" s="377"/>
      <c r="I434" s="377"/>
      <c r="J434" s="377"/>
    </row>
    <row r="435" spans="2:10" x14ac:dyDescent="0.3">
      <c r="C435" s="374"/>
      <c r="D435" s="377"/>
      <c r="E435" s="377"/>
      <c r="F435" s="377"/>
      <c r="G435" s="377"/>
      <c r="H435" s="377"/>
      <c r="I435" s="377"/>
      <c r="J435" s="377"/>
    </row>
    <row r="436" spans="2:10" x14ac:dyDescent="0.3">
      <c r="C436" s="374"/>
      <c r="D436" s="377"/>
      <c r="E436" s="377"/>
      <c r="F436" s="377"/>
      <c r="G436" s="377"/>
      <c r="H436" s="377"/>
      <c r="I436" s="377"/>
      <c r="J436" s="377"/>
    </row>
  </sheetData>
  <conditionalFormatting sqref="E403:J407">
    <cfRule type="cellIs" dxfId="65" priority="27" operator="greaterThan">
      <formula>0</formula>
    </cfRule>
    <cfRule type="cellIs" dxfId="64" priority="28" operator="lessThan">
      <formula>0</formula>
    </cfRule>
  </conditionalFormatting>
  <conditionalFormatting sqref="F165:J165">
    <cfRule type="cellIs" dxfId="63" priority="25" operator="equal">
      <formula>0</formula>
    </cfRule>
    <cfRule type="cellIs" dxfId="62" priority="26" operator="equal">
      <formula>1</formula>
    </cfRule>
  </conditionalFormatting>
  <conditionalFormatting sqref="D117">
    <cfRule type="cellIs" dxfId="61" priority="22" operator="equal">
      <formula>"Base"</formula>
    </cfRule>
    <cfRule type="cellIs" dxfId="60" priority="23" operator="equal">
      <formula>"Downside"</formula>
    </cfRule>
    <cfRule type="cellIs" dxfId="59" priority="24" operator="equal">
      <formula>"Upside"</formula>
    </cfRule>
  </conditionalFormatting>
  <conditionalFormatting sqref="H336:J336 H340:J340">
    <cfRule type="cellIs" dxfId="58" priority="20" operator="equal">
      <formula>0</formula>
    </cfRule>
    <cfRule type="cellIs" dxfId="57" priority="21" operator="equal">
      <formula>1</formula>
    </cfRule>
  </conditionalFormatting>
  <conditionalFormatting sqref="F313:J313">
    <cfRule type="cellIs" dxfId="56" priority="18" operator="equal">
      <formula>0</formula>
    </cfRule>
    <cfRule type="cellIs" dxfId="55" priority="19" operator="equal">
      <formula>1</formula>
    </cfRule>
  </conditionalFormatting>
  <conditionalFormatting sqref="G339:J339">
    <cfRule type="cellIs" dxfId="54" priority="16" operator="equal">
      <formula>"Breached"</formula>
    </cfRule>
    <cfRule type="cellIs" dxfId="53" priority="17" operator="equal">
      <formula>"Passed"</formula>
    </cfRule>
  </conditionalFormatting>
  <conditionalFormatting sqref="G341:J341">
    <cfRule type="cellIs" dxfId="52" priority="10" operator="equal">
      <formula>"Breached"</formula>
    </cfRule>
    <cfRule type="cellIs" dxfId="51" priority="11" operator="equal">
      <formula>"Passed"</formula>
    </cfRule>
  </conditionalFormatting>
  <conditionalFormatting sqref="H341:J341">
    <cfRule type="cellIs" dxfId="50" priority="14" operator="equal">
      <formula>"Breached"</formula>
    </cfRule>
    <cfRule type="cellIs" dxfId="49" priority="15" operator="equal">
      <formula>"Passed"</formula>
    </cfRule>
  </conditionalFormatting>
  <conditionalFormatting sqref="G339:J339">
    <cfRule type="cellIs" dxfId="48" priority="12" operator="equal">
      <formula>"Breached"</formula>
    </cfRule>
    <cfRule type="cellIs" dxfId="47" priority="13" operator="equal">
      <formula>"Passed"</formula>
    </cfRule>
  </conditionalFormatting>
  <conditionalFormatting sqref="D230">
    <cfRule type="cellIs" dxfId="46" priority="7" operator="equal">
      <formula>"Base"</formula>
    </cfRule>
    <cfRule type="cellIs" dxfId="45" priority="8" operator="equal">
      <formula>"Downside"</formula>
    </cfRule>
    <cfRule type="cellIs" dxfId="44" priority="9" operator="equal">
      <formula>"Upside"</formula>
    </cfRule>
  </conditionalFormatting>
  <conditionalFormatting sqref="G341">
    <cfRule type="cellIs" dxfId="43" priority="5" operator="equal">
      <formula>"Breached"</formula>
    </cfRule>
    <cfRule type="cellIs" dxfId="42" priority="6" operator="equal">
      <formula>"Passed"</formula>
    </cfRule>
  </conditionalFormatting>
  <conditionalFormatting sqref="F169:J169">
    <cfRule type="cellIs" dxfId="41" priority="3" operator="equal">
      <formula>0</formula>
    </cfRule>
    <cfRule type="cellIs" dxfId="40" priority="4" operator="equal">
      <formula>1</formula>
    </cfRule>
  </conditionalFormatting>
  <conditionalFormatting sqref="H342:J342">
    <cfRule type="cellIs" dxfId="39" priority="1" operator="equal">
      <formula>0</formula>
    </cfRule>
    <cfRule type="cellIs" dxfId="38" priority="2" operator="equal">
      <formula>1</formula>
    </cfRule>
  </conditionalFormatting>
  <conditionalFormatting sqref="F393:F394">
    <cfRule type="top10" dxfId="37" priority="29" percent="1" rank="10"/>
  </conditionalFormatting>
  <conditionalFormatting sqref="G393:G394">
    <cfRule type="top10" dxfId="36" priority="30" percent="1" rank="10"/>
  </conditionalFormatting>
  <conditionalFormatting sqref="H393:H394">
    <cfRule type="top10" dxfId="35" priority="31" percent="1" rank="10"/>
  </conditionalFormatting>
  <conditionalFormatting sqref="I393:I394">
    <cfRule type="top10" dxfId="34" priority="32" percent="1" rank="10"/>
  </conditionalFormatting>
  <conditionalFormatting sqref="J393:J394">
    <cfRule type="top10" dxfId="33" priority="33" percent="1" rank="10"/>
  </conditionalFormatting>
  <dataValidations disablePrompts="1" count="3">
    <dataValidation type="list" showInputMessage="1" showErrorMessage="1" sqref="J35" xr:uid="{DE30BD7A-7287-46E5-A6FE-A4D0FC57225D}">
      <formula1>"N/A ,2021,2022,2023,2024,2025"</formula1>
    </dataValidation>
    <dataValidation type="list" showInputMessage="1" showErrorMessage="1" sqref="E36" xr:uid="{26E57DE1-8B10-405F-8870-6D84B03AD7B3}">
      <formula1>"N/A ,2023,2024,2025"</formula1>
    </dataValidation>
    <dataValidation type="list" allowBlank="1" showInputMessage="1" showErrorMessage="1" sqref="E37" xr:uid="{4EB3B84D-1339-4B93-A2AF-6F76132B0244}">
      <formula1>"2023,2024,2025"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4E3C-2DEB-481A-B600-1E45B707C090}">
  <sheetPr>
    <tabColor theme="9" tint="0.79998168889431442"/>
  </sheetPr>
  <dimension ref="B3:J436"/>
  <sheetViews>
    <sheetView showGridLines="0" zoomScaleNormal="100" workbookViewId="0"/>
  </sheetViews>
  <sheetFormatPr defaultRowHeight="12.45" x14ac:dyDescent="0.3"/>
  <cols>
    <col min="1" max="1" width="1.69140625" bestFit="1" customWidth="1"/>
    <col min="2" max="2" width="20.61328125" customWidth="1"/>
    <col min="3" max="10" width="10.61328125" customWidth="1"/>
  </cols>
  <sheetData>
    <row r="3" spans="2:10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2.9" x14ac:dyDescent="0.35">
      <c r="B4" s="2" t="s">
        <v>1</v>
      </c>
    </row>
    <row r="5" spans="2:10" x14ac:dyDescent="0.3">
      <c r="B5" s="3" t="s">
        <v>2</v>
      </c>
      <c r="C5" s="3"/>
      <c r="D5" s="3"/>
      <c r="E5" s="3"/>
      <c r="F5" s="3"/>
      <c r="G5" s="4"/>
      <c r="H5" s="4"/>
      <c r="I5" s="4"/>
      <c r="J5" s="4"/>
    </row>
    <row r="7" spans="2:10" x14ac:dyDescent="0.3">
      <c r="B7" s="5" t="s">
        <v>3</v>
      </c>
      <c r="C7" s="5"/>
      <c r="D7" s="5"/>
      <c r="E7" s="5"/>
      <c r="G7" s="5" t="s">
        <v>4</v>
      </c>
      <c r="H7" s="5"/>
      <c r="I7" s="5"/>
      <c r="J7" s="5"/>
    </row>
    <row r="8" spans="2:10" x14ac:dyDescent="0.3">
      <c r="B8" t="s">
        <v>5</v>
      </c>
      <c r="E8" s="6">
        <v>12</v>
      </c>
      <c r="G8" t="s">
        <v>6</v>
      </c>
      <c r="J8" s="7">
        <v>315</v>
      </c>
    </row>
    <row r="9" spans="2:10" x14ac:dyDescent="0.3">
      <c r="B9" t="s">
        <v>7</v>
      </c>
      <c r="E9" s="8">
        <f>+E8*(1+E10)</f>
        <v>15</v>
      </c>
      <c r="G9" s="9" t="s">
        <v>8</v>
      </c>
      <c r="H9" s="9"/>
      <c r="I9" s="9"/>
      <c r="J9" s="10">
        <f>+J16</f>
        <v>2.9666666666666668</v>
      </c>
    </row>
    <row r="10" spans="2:10" ht="12.9" x14ac:dyDescent="0.35">
      <c r="B10" s="11" t="s">
        <v>9</v>
      </c>
      <c r="C10" s="11"/>
      <c r="D10" s="11"/>
      <c r="E10" s="12">
        <v>0.25</v>
      </c>
      <c r="G10" s="13" t="s">
        <v>10</v>
      </c>
      <c r="H10" s="13"/>
      <c r="I10" s="13"/>
      <c r="J10" s="14">
        <f>+J8+J9</f>
        <v>317.96666666666664</v>
      </c>
    </row>
    <row r="11" spans="2:10" x14ac:dyDescent="0.3">
      <c r="B11" s="9" t="s">
        <v>10</v>
      </c>
      <c r="C11" s="9"/>
      <c r="D11" s="9"/>
      <c r="E11" s="10">
        <f>+J10</f>
        <v>317.96666666666664</v>
      </c>
    </row>
    <row r="12" spans="2:10" x14ac:dyDescent="0.3">
      <c r="B12" s="15" t="s">
        <v>11</v>
      </c>
      <c r="C12" s="15"/>
      <c r="D12" s="15"/>
      <c r="E12" s="16">
        <f>+E9*E11</f>
        <v>4769.5</v>
      </c>
      <c r="G12" s="17" t="s">
        <v>12</v>
      </c>
      <c r="H12" s="18" t="s">
        <v>13</v>
      </c>
      <c r="I12" s="18" t="s">
        <v>14</v>
      </c>
      <c r="J12" s="18" t="s">
        <v>15</v>
      </c>
    </row>
    <row r="13" spans="2:10" x14ac:dyDescent="0.3">
      <c r="B13" s="9" t="s">
        <v>16</v>
      </c>
      <c r="C13" s="9"/>
      <c r="D13" s="9"/>
      <c r="E13" s="10">
        <f>SUM(G83,G89:G90)-G72</f>
        <v>250</v>
      </c>
      <c r="G13" s="19">
        <v>1</v>
      </c>
      <c r="H13" s="20">
        <v>1</v>
      </c>
      <c r="I13" s="21">
        <v>3</v>
      </c>
      <c r="J13" s="22">
        <f>IF(I13&lt;$E$9,H13-(I13*H13)/$E$9,0)</f>
        <v>0.8</v>
      </c>
    </row>
    <row r="14" spans="2:10" x14ac:dyDescent="0.3">
      <c r="B14" s="13" t="s">
        <v>17</v>
      </c>
      <c r="C14" s="13"/>
      <c r="D14" s="13"/>
      <c r="E14" s="16">
        <f>SUM(E12:E13)</f>
        <v>5019.5</v>
      </c>
      <c r="G14" s="19">
        <f>+G13+1</f>
        <v>2</v>
      </c>
      <c r="H14" s="20">
        <v>2</v>
      </c>
      <c r="I14" s="21">
        <v>5</v>
      </c>
      <c r="J14" s="22">
        <f>IF(I14&lt;$E$9,H14-(I14*H14)/$E$9,0)</f>
        <v>1.3333333333333335</v>
      </c>
    </row>
    <row r="15" spans="2:10" x14ac:dyDescent="0.3">
      <c r="B15" s="9" t="s">
        <v>18</v>
      </c>
      <c r="C15" s="9"/>
      <c r="D15" s="9"/>
      <c r="E15" s="10">
        <f>+E190</f>
        <v>345</v>
      </c>
      <c r="G15" s="23">
        <f>+G14+1</f>
        <v>3</v>
      </c>
      <c r="H15" s="24">
        <v>2.5</v>
      </c>
      <c r="I15" s="25">
        <v>10</v>
      </c>
      <c r="J15" s="26">
        <f>IF(I15&lt;$E$9,H15-(I15*H15)/$E$9,0)</f>
        <v>0.83333333333333326</v>
      </c>
    </row>
    <row r="16" spans="2:10" x14ac:dyDescent="0.3">
      <c r="B16" s="13" t="s">
        <v>19</v>
      </c>
      <c r="C16" s="13"/>
      <c r="D16" s="13"/>
      <c r="E16" s="27">
        <f>+E14/E15</f>
        <v>14.549275362318841</v>
      </c>
      <c r="G16" s="13" t="s">
        <v>20</v>
      </c>
      <c r="H16" s="28"/>
      <c r="I16" s="28"/>
      <c r="J16" s="29">
        <f>SUM(J13:J15)</f>
        <v>2.9666666666666668</v>
      </c>
    </row>
    <row r="18" spans="2:10" x14ac:dyDescent="0.3">
      <c r="B18" s="5" t="s">
        <v>21</v>
      </c>
      <c r="C18" s="5"/>
      <c r="D18" s="5"/>
      <c r="E18" s="5"/>
      <c r="G18" s="5" t="s">
        <v>22</v>
      </c>
      <c r="H18" s="5"/>
      <c r="I18" s="5"/>
      <c r="J18" s="5"/>
    </row>
    <row r="19" spans="2:10" x14ac:dyDescent="0.3">
      <c r="B19" t="s">
        <v>23</v>
      </c>
      <c r="E19" s="30">
        <v>2.5000000000000001E-2</v>
      </c>
      <c r="G19" t="s">
        <v>24</v>
      </c>
      <c r="J19" s="31">
        <v>1000</v>
      </c>
    </row>
    <row r="20" spans="2:10" x14ac:dyDescent="0.3">
      <c r="B20" t="s">
        <v>25</v>
      </c>
      <c r="E20" s="31">
        <v>25</v>
      </c>
      <c r="G20" t="s">
        <v>26</v>
      </c>
      <c r="J20" s="32">
        <v>2.5000000000000001E-3</v>
      </c>
    </row>
    <row r="21" spans="2:10" x14ac:dyDescent="0.3">
      <c r="B21" t="s">
        <v>27</v>
      </c>
      <c r="E21" s="31">
        <v>475</v>
      </c>
      <c r="G21" t="s">
        <v>28</v>
      </c>
      <c r="J21" s="33">
        <v>8</v>
      </c>
    </row>
    <row r="22" spans="2:10" x14ac:dyDescent="0.3">
      <c r="B22" t="s">
        <v>29</v>
      </c>
      <c r="E22" s="31">
        <v>5</v>
      </c>
      <c r="G22" t="s">
        <v>30</v>
      </c>
      <c r="J22" s="34">
        <v>0.02</v>
      </c>
    </row>
    <row r="23" spans="2:10" x14ac:dyDescent="0.3">
      <c r="B23" t="s">
        <v>31</v>
      </c>
      <c r="E23" s="30">
        <v>0.25</v>
      </c>
      <c r="G23" t="s">
        <v>32</v>
      </c>
      <c r="J23" s="35">
        <v>1</v>
      </c>
    </row>
    <row r="24" spans="2:10" x14ac:dyDescent="0.3">
      <c r="E24" s="30"/>
      <c r="J24" s="36"/>
    </row>
    <row r="25" spans="2:10" x14ac:dyDescent="0.3">
      <c r="B25" s="5" t="s">
        <v>33</v>
      </c>
      <c r="C25" s="5"/>
      <c r="D25" s="5"/>
      <c r="E25" s="5"/>
      <c r="F25" s="5"/>
      <c r="G25" s="5"/>
      <c r="H25" s="5"/>
      <c r="I25" s="5"/>
      <c r="J25" s="5"/>
    </row>
    <row r="26" spans="2:10" x14ac:dyDescent="0.3">
      <c r="B26" s="1" t="s">
        <v>34</v>
      </c>
      <c r="C26" s="1"/>
      <c r="D26" s="37" t="s">
        <v>35</v>
      </c>
      <c r="E26" s="37" t="s">
        <v>36</v>
      </c>
      <c r="F26" s="37" t="s">
        <v>37</v>
      </c>
      <c r="G26" s="38" t="s">
        <v>38</v>
      </c>
      <c r="H26" s="38" t="s">
        <v>39</v>
      </c>
      <c r="I26" s="38" t="s">
        <v>40</v>
      </c>
      <c r="J26" s="38" t="s">
        <v>41</v>
      </c>
    </row>
    <row r="27" spans="2:10" x14ac:dyDescent="0.3">
      <c r="B27" t="s">
        <v>42</v>
      </c>
      <c r="D27" s="39">
        <v>0</v>
      </c>
      <c r="E27" s="40">
        <v>400</v>
      </c>
      <c r="F27" s="41">
        <v>0</v>
      </c>
      <c r="G27" s="41">
        <v>0</v>
      </c>
      <c r="H27" s="42">
        <v>0</v>
      </c>
      <c r="I27" s="43">
        <f>(100-H27)/100*E42</f>
        <v>0</v>
      </c>
      <c r="J27" s="43">
        <f>+($J$22*E42)+I27</f>
        <v>0</v>
      </c>
    </row>
    <row r="28" spans="2:10" x14ac:dyDescent="0.3">
      <c r="B28" t="s">
        <v>43</v>
      </c>
      <c r="D28" s="39">
        <v>6</v>
      </c>
      <c r="E28" s="40">
        <v>400</v>
      </c>
      <c r="F28" s="41">
        <v>0.01</v>
      </c>
      <c r="G28" s="41">
        <v>0.05</v>
      </c>
      <c r="H28" s="44">
        <v>98</v>
      </c>
      <c r="I28" s="45">
        <f>(100-H28)/100*E43</f>
        <v>41.4</v>
      </c>
      <c r="J28" s="45">
        <f>+($J$22*E43)+I28</f>
        <v>82.8</v>
      </c>
    </row>
    <row r="29" spans="2:10" x14ac:dyDescent="0.3">
      <c r="B29" s="9" t="s">
        <v>44</v>
      </c>
      <c r="C29" s="9"/>
      <c r="D29" s="46">
        <v>0</v>
      </c>
      <c r="E29" s="47">
        <v>8.5000000000000006E-2</v>
      </c>
      <c r="F29" s="47">
        <v>0</v>
      </c>
      <c r="G29" s="47">
        <v>0</v>
      </c>
      <c r="H29" s="48">
        <v>0</v>
      </c>
      <c r="I29" s="49">
        <v>0</v>
      </c>
      <c r="J29" s="49">
        <v>0</v>
      </c>
    </row>
    <row r="30" spans="2:10" x14ac:dyDescent="0.3">
      <c r="B30" s="13" t="s">
        <v>45</v>
      </c>
      <c r="D30" s="50">
        <f>SUM(D27:D29)</f>
        <v>6</v>
      </c>
      <c r="E30" s="13"/>
      <c r="F30" s="28"/>
      <c r="J30" s="16">
        <f>SUM(J27:J29)</f>
        <v>82.8</v>
      </c>
    </row>
    <row r="32" spans="2:10" x14ac:dyDescent="0.3">
      <c r="B32" s="5" t="s">
        <v>46</v>
      </c>
      <c r="C32" s="5"/>
      <c r="D32" s="5"/>
      <c r="E32" s="5"/>
      <c r="G32" s="5" t="s">
        <v>47</v>
      </c>
      <c r="H32" s="5"/>
      <c r="I32" s="5"/>
      <c r="J32" s="5"/>
    </row>
    <row r="33" spans="2:10" x14ac:dyDescent="0.3">
      <c r="B33" t="s">
        <v>48</v>
      </c>
      <c r="E33" s="51">
        <v>1</v>
      </c>
      <c r="G33" t="s">
        <v>49</v>
      </c>
      <c r="J33" s="51">
        <v>1</v>
      </c>
    </row>
    <row r="34" spans="2:10" x14ac:dyDescent="0.3">
      <c r="B34" t="s">
        <v>50</v>
      </c>
      <c r="E34" s="52">
        <f>+D30</f>
        <v>6</v>
      </c>
      <c r="G34" t="s">
        <v>51</v>
      </c>
      <c r="J34" s="53">
        <v>9.5</v>
      </c>
    </row>
    <row r="35" spans="2:10" x14ac:dyDescent="0.3">
      <c r="B35" t="s">
        <v>52</v>
      </c>
      <c r="E35" s="54">
        <v>2</v>
      </c>
      <c r="G35" t="s">
        <v>53</v>
      </c>
      <c r="J35" s="55">
        <v>2021</v>
      </c>
    </row>
    <row r="36" spans="2:10" x14ac:dyDescent="0.3">
      <c r="B36" t="s">
        <v>54</v>
      </c>
      <c r="E36" s="55">
        <v>2024</v>
      </c>
    </row>
    <row r="37" spans="2:10" x14ac:dyDescent="0.3">
      <c r="E37" s="55"/>
      <c r="J37" s="3"/>
    </row>
    <row r="38" spans="2:10" x14ac:dyDescent="0.3">
      <c r="B38" s="3" t="s">
        <v>55</v>
      </c>
      <c r="C38" s="3"/>
      <c r="D38" s="3"/>
      <c r="E38" s="3"/>
      <c r="F38" s="3"/>
      <c r="G38" s="3"/>
      <c r="H38" s="3"/>
      <c r="I38" s="3"/>
      <c r="J38" s="3"/>
    </row>
    <row r="40" spans="2:10" x14ac:dyDescent="0.3">
      <c r="B40" s="5" t="s">
        <v>56</v>
      </c>
      <c r="C40" s="5"/>
      <c r="D40" s="5"/>
      <c r="E40" s="5"/>
      <c r="F40" s="56"/>
      <c r="G40" s="5"/>
      <c r="H40" s="5"/>
      <c r="I40" s="5"/>
      <c r="J40" s="5"/>
    </row>
    <row r="41" spans="2:10" x14ac:dyDescent="0.3">
      <c r="B41" s="1" t="s">
        <v>57</v>
      </c>
      <c r="C41" s="1"/>
      <c r="D41" s="1"/>
      <c r="E41" s="37" t="s">
        <v>58</v>
      </c>
      <c r="G41" s="57" t="s">
        <v>59</v>
      </c>
      <c r="H41" s="1"/>
      <c r="I41" s="1"/>
      <c r="J41" s="37" t="s">
        <v>58</v>
      </c>
    </row>
    <row r="42" spans="2:10" x14ac:dyDescent="0.3">
      <c r="B42" t="s">
        <v>42</v>
      </c>
      <c r="E42" s="58">
        <f>+D27*E15</f>
        <v>0</v>
      </c>
      <c r="G42" t="s">
        <v>60</v>
      </c>
      <c r="J42" s="58">
        <f>+E12</f>
        <v>4769.5</v>
      </c>
    </row>
    <row r="43" spans="2:10" x14ac:dyDescent="0.3">
      <c r="B43" s="9" t="s">
        <v>43</v>
      </c>
      <c r="C43" s="9"/>
      <c r="D43" s="9"/>
      <c r="E43" s="59">
        <f>+D28*E15</f>
        <v>2070</v>
      </c>
      <c r="G43" t="s">
        <v>61</v>
      </c>
      <c r="J43" s="45">
        <f>+E13</f>
        <v>250</v>
      </c>
    </row>
    <row r="44" spans="2:10" x14ac:dyDescent="0.3">
      <c r="B44" s="13" t="s">
        <v>45</v>
      </c>
      <c r="C44" s="13"/>
      <c r="D44" s="13"/>
      <c r="E44" s="16">
        <f>+SUM(E42:E43)</f>
        <v>2070</v>
      </c>
      <c r="G44" t="s">
        <v>25</v>
      </c>
      <c r="J44" s="45">
        <f>+E20</f>
        <v>25</v>
      </c>
    </row>
    <row r="45" spans="2:10" x14ac:dyDescent="0.3">
      <c r="B45" t="s">
        <v>62</v>
      </c>
      <c r="E45" s="42">
        <f>+E47-E46</f>
        <v>2701.5375000000004</v>
      </c>
      <c r="G45" t="s">
        <v>63</v>
      </c>
      <c r="J45" s="42">
        <f>+E12*E19</f>
        <v>119.23750000000001</v>
      </c>
    </row>
    <row r="46" spans="2:10" x14ac:dyDescent="0.3">
      <c r="B46" s="9" t="s">
        <v>64</v>
      </c>
      <c r="C46" s="9"/>
      <c r="D46" s="9"/>
      <c r="E46" s="59">
        <f>+E21</f>
        <v>475</v>
      </c>
      <c r="G46" s="9" t="s">
        <v>65</v>
      </c>
      <c r="H46" s="9"/>
      <c r="I46" s="9"/>
      <c r="J46" s="59">
        <f>+J30</f>
        <v>82.8</v>
      </c>
    </row>
    <row r="47" spans="2:10" x14ac:dyDescent="0.3">
      <c r="B47" s="13" t="s">
        <v>66</v>
      </c>
      <c r="C47" s="13"/>
      <c r="D47" s="13"/>
      <c r="E47" s="16">
        <f>+E49-E44</f>
        <v>3176.5375000000004</v>
      </c>
      <c r="G47" s="13" t="s">
        <v>67</v>
      </c>
      <c r="H47" s="13"/>
      <c r="I47" s="13"/>
      <c r="J47" s="16">
        <f>+SUM(J42:J46)</f>
        <v>5246.5375000000004</v>
      </c>
    </row>
    <row r="48" spans="2:10" x14ac:dyDescent="0.3">
      <c r="B48" s="9"/>
      <c r="C48" s="9"/>
      <c r="D48" s="9"/>
      <c r="E48" s="9"/>
    </row>
    <row r="49" spans="2:10" ht="12.9" x14ac:dyDescent="0.35">
      <c r="B49" s="13" t="s">
        <v>68</v>
      </c>
      <c r="C49" s="13"/>
      <c r="D49" s="13"/>
      <c r="E49" s="60">
        <f>+J47</f>
        <v>5246.5375000000004</v>
      </c>
      <c r="G49" s="2" t="s">
        <v>69</v>
      </c>
      <c r="H49" s="2"/>
      <c r="I49" s="2"/>
      <c r="J49" s="61">
        <f>E49-J47</f>
        <v>0</v>
      </c>
    </row>
    <row r="51" spans="2:10" x14ac:dyDescent="0.3">
      <c r="B51" s="3" t="s">
        <v>70</v>
      </c>
      <c r="C51" s="3"/>
      <c r="D51" s="3"/>
      <c r="E51" s="3"/>
      <c r="F51" s="3"/>
      <c r="G51" s="3"/>
      <c r="H51" s="3"/>
      <c r="I51" s="3"/>
      <c r="J51" s="3"/>
    </row>
    <row r="53" spans="2:10" x14ac:dyDescent="0.3">
      <c r="B53" s="5" t="s">
        <v>71</v>
      </c>
      <c r="C53" s="5"/>
      <c r="D53" s="5"/>
      <c r="E53" s="5"/>
      <c r="G53" s="5" t="s">
        <v>72</v>
      </c>
      <c r="H53" s="5"/>
      <c r="I53" s="5"/>
      <c r="J53" s="5"/>
    </row>
    <row r="54" spans="2:10" x14ac:dyDescent="0.3">
      <c r="B54" s="62" t="s">
        <v>60</v>
      </c>
      <c r="C54" s="62"/>
      <c r="E54" s="58">
        <f>+E12</f>
        <v>4769.5</v>
      </c>
      <c r="G54" s="62" t="s">
        <v>73</v>
      </c>
      <c r="J54" s="63">
        <v>0.1</v>
      </c>
    </row>
    <row r="55" spans="2:10" x14ac:dyDescent="0.3">
      <c r="B55" s="62" t="s">
        <v>74</v>
      </c>
      <c r="C55" s="62"/>
      <c r="E55" s="42">
        <f>-G95</f>
        <v>-1100</v>
      </c>
      <c r="G55" s="62" t="s">
        <v>75</v>
      </c>
      <c r="J55" s="64">
        <v>15</v>
      </c>
    </row>
    <row r="56" spans="2:10" x14ac:dyDescent="0.3">
      <c r="B56" s="65" t="s">
        <v>76</v>
      </c>
      <c r="C56" s="65"/>
      <c r="D56" s="9"/>
      <c r="E56" s="59">
        <f>G79</f>
        <v>200</v>
      </c>
      <c r="G56" s="62" t="s">
        <v>77</v>
      </c>
      <c r="J56" s="43">
        <f>-E58/J55</f>
        <v>25.79666666666667</v>
      </c>
    </row>
    <row r="57" spans="2:10" x14ac:dyDescent="0.3">
      <c r="B57" s="15" t="s">
        <v>78</v>
      </c>
      <c r="C57" s="15"/>
      <c r="E57" s="16">
        <f>+SUM(E54:E56)</f>
        <v>3869.5</v>
      </c>
      <c r="G57" s="62" t="s">
        <v>79</v>
      </c>
      <c r="J57" s="43">
        <f>-E58*E23</f>
        <v>96.737500000000011</v>
      </c>
    </row>
    <row r="58" spans="2:10" x14ac:dyDescent="0.3">
      <c r="B58" s="62" t="s">
        <v>80</v>
      </c>
      <c r="C58" s="62"/>
      <c r="E58" s="42">
        <f>-J54*E57</f>
        <v>-386.95000000000005</v>
      </c>
      <c r="G58" s="62" t="s">
        <v>81</v>
      </c>
      <c r="J58" s="43">
        <f>+J57/J55</f>
        <v>6.4491666666666676</v>
      </c>
    </row>
    <row r="59" spans="2:10" x14ac:dyDescent="0.3">
      <c r="B59" s="62" t="s">
        <v>82</v>
      </c>
      <c r="C59" s="62"/>
      <c r="E59" s="42">
        <f>-J61*G78</f>
        <v>-100</v>
      </c>
      <c r="G59" s="3"/>
      <c r="H59" s="3"/>
      <c r="I59" s="3"/>
      <c r="J59" s="3"/>
    </row>
    <row r="60" spans="2:10" x14ac:dyDescent="0.3">
      <c r="B60" s="65" t="s">
        <v>83</v>
      </c>
      <c r="C60" s="65"/>
      <c r="D60" s="9"/>
      <c r="E60" s="59">
        <f>+J57+J64</f>
        <v>121.73750000000001</v>
      </c>
      <c r="G60" s="5" t="s">
        <v>84</v>
      </c>
      <c r="H60" s="5"/>
      <c r="I60" s="5"/>
      <c r="J60" s="5"/>
    </row>
    <row r="61" spans="2:10" x14ac:dyDescent="0.3">
      <c r="B61" s="15" t="s">
        <v>85</v>
      </c>
      <c r="C61" s="15"/>
      <c r="E61" s="16">
        <f>SUM(E57:E60)</f>
        <v>3504.2875000000004</v>
      </c>
      <c r="G61" s="62" t="s">
        <v>86</v>
      </c>
      <c r="J61" s="66">
        <v>0.1</v>
      </c>
    </row>
    <row r="62" spans="2:10" x14ac:dyDescent="0.3">
      <c r="G62" s="62" t="s">
        <v>75</v>
      </c>
      <c r="J62" s="67">
        <v>8</v>
      </c>
    </row>
    <row r="63" spans="2:10" x14ac:dyDescent="0.3">
      <c r="G63" s="62" t="s">
        <v>87</v>
      </c>
      <c r="J63" s="43">
        <f>-E59/J62</f>
        <v>12.5</v>
      </c>
    </row>
    <row r="64" spans="2:10" x14ac:dyDescent="0.3">
      <c r="G64" s="62" t="s">
        <v>79</v>
      </c>
      <c r="J64" s="43">
        <f>-E59*E23</f>
        <v>25</v>
      </c>
    </row>
    <row r="65" spans="2:10" x14ac:dyDescent="0.3">
      <c r="G65" s="62" t="s">
        <v>81</v>
      </c>
      <c r="J65" s="43">
        <f>+J64/J62</f>
        <v>3.125</v>
      </c>
    </row>
    <row r="66" spans="2:10" x14ac:dyDescent="0.3">
      <c r="G66" s="62"/>
      <c r="J66" s="43"/>
    </row>
    <row r="67" spans="2:10" x14ac:dyDescent="0.3">
      <c r="B67" s="3" t="s">
        <v>88</v>
      </c>
      <c r="C67" s="3"/>
      <c r="D67" s="3"/>
      <c r="E67" s="3"/>
      <c r="F67" s="3"/>
      <c r="G67" s="68"/>
      <c r="H67" s="3"/>
      <c r="I67" s="3"/>
      <c r="J67" s="69"/>
    </row>
    <row r="69" spans="2:10" x14ac:dyDescent="0.3">
      <c r="B69" s="5" t="s">
        <v>89</v>
      </c>
      <c r="C69" s="5"/>
      <c r="D69" s="5"/>
      <c r="E69" s="5"/>
      <c r="F69" s="5"/>
      <c r="G69" s="70">
        <v>2020</v>
      </c>
      <c r="H69" s="71" t="s">
        <v>90</v>
      </c>
      <c r="I69" s="71"/>
      <c r="J69" s="72">
        <v>2020</v>
      </c>
    </row>
    <row r="70" spans="2:10" x14ac:dyDescent="0.3">
      <c r="G70" s="62"/>
      <c r="H70" s="73" t="s">
        <v>91</v>
      </c>
      <c r="I70" s="74" t="s">
        <v>92</v>
      </c>
    </row>
    <row r="71" spans="2:10" x14ac:dyDescent="0.3">
      <c r="G71" s="62"/>
      <c r="H71" s="75"/>
      <c r="I71" s="76"/>
    </row>
    <row r="72" spans="2:10" x14ac:dyDescent="0.3">
      <c r="B72" t="s">
        <v>93</v>
      </c>
      <c r="G72" s="77">
        <v>200</v>
      </c>
      <c r="H72" s="78">
        <f>+J44</f>
        <v>25</v>
      </c>
      <c r="I72" s="79">
        <f>-G72</f>
        <v>-200</v>
      </c>
      <c r="J72" s="58">
        <f>+SUM(G72:I72)</f>
        <v>25</v>
      </c>
    </row>
    <row r="73" spans="2:10" x14ac:dyDescent="0.3">
      <c r="B73" t="s">
        <v>94</v>
      </c>
      <c r="G73" s="44">
        <v>300</v>
      </c>
      <c r="H73" s="78"/>
      <c r="I73" s="79"/>
      <c r="J73" s="42">
        <f>+SUM(G73:I73)</f>
        <v>300</v>
      </c>
    </row>
    <row r="74" spans="2:10" x14ac:dyDescent="0.3">
      <c r="B74" t="s">
        <v>95</v>
      </c>
      <c r="G74" s="44">
        <v>425</v>
      </c>
      <c r="H74" s="78"/>
      <c r="I74" s="79"/>
      <c r="J74" s="42">
        <f>+SUM(G74:I74)</f>
        <v>425</v>
      </c>
    </row>
    <row r="75" spans="2:10" x14ac:dyDescent="0.3">
      <c r="B75" s="9" t="s">
        <v>96</v>
      </c>
      <c r="C75" s="9"/>
      <c r="D75" s="9"/>
      <c r="E75" s="9"/>
      <c r="F75" s="9"/>
      <c r="G75" s="49">
        <v>50</v>
      </c>
      <c r="H75" s="80"/>
      <c r="I75" s="81"/>
      <c r="J75" s="59">
        <f>+SUM(G75:I75)</f>
        <v>50</v>
      </c>
    </row>
    <row r="76" spans="2:10" x14ac:dyDescent="0.3">
      <c r="B76" s="13" t="s">
        <v>97</v>
      </c>
      <c r="G76" s="16">
        <f>+SUM(G72:G75)</f>
        <v>975</v>
      </c>
      <c r="H76" s="82"/>
      <c r="I76" s="83"/>
      <c r="J76" s="16">
        <f>+SUM(J72:J75)</f>
        <v>800</v>
      </c>
    </row>
    <row r="77" spans="2:10" x14ac:dyDescent="0.3">
      <c r="B77" s="13"/>
      <c r="G77" s="14"/>
      <c r="H77" s="82"/>
      <c r="I77" s="83"/>
      <c r="J77" s="14"/>
    </row>
    <row r="78" spans="2:10" x14ac:dyDescent="0.3">
      <c r="B78" t="s">
        <v>98</v>
      </c>
      <c r="G78" s="77">
        <v>1000</v>
      </c>
      <c r="H78" s="78">
        <f>-E59</f>
        <v>100</v>
      </c>
      <c r="I78" s="79"/>
      <c r="J78" s="58">
        <f>+SUM(G78:I78)</f>
        <v>1100</v>
      </c>
    </row>
    <row r="79" spans="2:10" x14ac:dyDescent="0.3">
      <c r="B79" t="s">
        <v>99</v>
      </c>
      <c r="G79" s="44">
        <v>200</v>
      </c>
      <c r="H79" s="78">
        <f>+E61</f>
        <v>3504.2875000000004</v>
      </c>
      <c r="I79" s="79">
        <f>-G79</f>
        <v>-200</v>
      </c>
      <c r="J79" s="42">
        <f>+SUM(G79:I79)</f>
        <v>3504.2875000000004</v>
      </c>
    </row>
    <row r="80" spans="2:10" x14ac:dyDescent="0.3">
      <c r="B80" s="9" t="s">
        <v>100</v>
      </c>
      <c r="C80" s="9"/>
      <c r="D80" s="9"/>
      <c r="E80" s="9"/>
      <c r="F80" s="9"/>
      <c r="G80" s="49">
        <v>0</v>
      </c>
      <c r="H80" s="80">
        <f>-E58</f>
        <v>386.95000000000005</v>
      </c>
      <c r="I80" s="81"/>
      <c r="J80" s="59">
        <f>+SUM(G80:I80)</f>
        <v>386.95000000000005</v>
      </c>
    </row>
    <row r="81" spans="2:10" x14ac:dyDescent="0.3">
      <c r="B81" s="13" t="s">
        <v>101</v>
      </c>
      <c r="G81" s="16">
        <f>+SUM(G76,G78:G80)</f>
        <v>2175</v>
      </c>
      <c r="H81" s="82"/>
      <c r="I81" s="83"/>
      <c r="J81" s="16">
        <f>+SUM(J76,J78:J80)</f>
        <v>5791.2375000000002</v>
      </c>
    </row>
    <row r="82" spans="2:10" x14ac:dyDescent="0.3">
      <c r="G82" s="45"/>
      <c r="H82" s="84"/>
      <c r="I82" s="85"/>
      <c r="J82" s="45"/>
    </row>
    <row r="83" spans="2:10" x14ac:dyDescent="0.3">
      <c r="B83" t="s">
        <v>42</v>
      </c>
      <c r="G83" s="77">
        <v>0</v>
      </c>
      <c r="H83" s="78"/>
      <c r="I83" s="79">
        <f>+E42</f>
        <v>0</v>
      </c>
      <c r="J83" s="58">
        <f>+SUM(G83:I83)</f>
        <v>0</v>
      </c>
    </row>
    <row r="84" spans="2:10" x14ac:dyDescent="0.3">
      <c r="B84" t="s">
        <v>102</v>
      </c>
      <c r="G84" s="44">
        <v>350</v>
      </c>
      <c r="H84" s="78"/>
      <c r="I84" s="79"/>
      <c r="J84" s="42">
        <f>+SUM(G84:I84)</f>
        <v>350</v>
      </c>
    </row>
    <row r="85" spans="2:10" x14ac:dyDescent="0.3">
      <c r="B85" t="s">
        <v>103</v>
      </c>
      <c r="G85" s="44">
        <v>200</v>
      </c>
      <c r="H85" s="78"/>
      <c r="I85" s="79"/>
      <c r="J85" s="42">
        <f>+SUM(G85:I85)</f>
        <v>200</v>
      </c>
    </row>
    <row r="86" spans="2:10" x14ac:dyDescent="0.3">
      <c r="B86" s="9" t="s">
        <v>104</v>
      </c>
      <c r="C86" s="9"/>
      <c r="D86" s="9"/>
      <c r="E86" s="9"/>
      <c r="F86" s="9"/>
      <c r="G86" s="49">
        <v>75</v>
      </c>
      <c r="H86" s="80"/>
      <c r="I86" s="81"/>
      <c r="J86" s="59">
        <f>+SUM(G86:I86)</f>
        <v>75</v>
      </c>
    </row>
    <row r="87" spans="2:10" x14ac:dyDescent="0.3">
      <c r="B87" s="13" t="s">
        <v>105</v>
      </c>
      <c r="G87" s="16">
        <f>+SUM(G83:G86)</f>
        <v>625</v>
      </c>
      <c r="H87" s="82"/>
      <c r="I87" s="83"/>
      <c r="J87" s="16">
        <f>+SUM(J83:J86)</f>
        <v>625</v>
      </c>
    </row>
    <row r="88" spans="2:10" x14ac:dyDescent="0.3">
      <c r="B88" s="13"/>
      <c r="G88" s="14"/>
      <c r="H88" s="82"/>
      <c r="I88" s="83"/>
      <c r="J88" s="14"/>
    </row>
    <row r="89" spans="2:10" x14ac:dyDescent="0.3">
      <c r="B89" t="s">
        <v>106</v>
      </c>
      <c r="G89" s="77">
        <v>450</v>
      </c>
      <c r="H89" s="78">
        <f>-G89</f>
        <v>-450</v>
      </c>
      <c r="I89" s="79"/>
      <c r="J89" s="58">
        <f>+SUM(G89:I89)</f>
        <v>0</v>
      </c>
    </row>
    <row r="90" spans="2:10" x14ac:dyDescent="0.3">
      <c r="B90" t="s">
        <v>43</v>
      </c>
      <c r="G90" s="44">
        <v>0</v>
      </c>
      <c r="H90" s="78"/>
      <c r="I90" s="79">
        <f>+E43</f>
        <v>2070</v>
      </c>
      <c r="J90" s="42">
        <f>+SUM(G90:I90)</f>
        <v>2070</v>
      </c>
    </row>
    <row r="91" spans="2:10" x14ac:dyDescent="0.3">
      <c r="B91" t="s">
        <v>107</v>
      </c>
      <c r="G91" s="44">
        <v>0</v>
      </c>
      <c r="H91" s="78">
        <f>-J30</f>
        <v>-82.8</v>
      </c>
      <c r="I91" s="79"/>
      <c r="J91" s="42">
        <f>+SUM(G91:I91)</f>
        <v>-82.8</v>
      </c>
    </row>
    <row r="92" spans="2:10" x14ac:dyDescent="0.3">
      <c r="B92" s="9" t="s">
        <v>108</v>
      </c>
      <c r="C92" s="9"/>
      <c r="D92" s="9"/>
      <c r="E92" s="9"/>
      <c r="F92" s="9"/>
      <c r="G92" s="49">
        <v>0</v>
      </c>
      <c r="H92" s="80"/>
      <c r="I92" s="81">
        <f>+E60</f>
        <v>121.73750000000001</v>
      </c>
      <c r="J92" s="59">
        <f>+SUM(G92:I92)</f>
        <v>121.73750000000001</v>
      </c>
    </row>
    <row r="93" spans="2:10" x14ac:dyDescent="0.3">
      <c r="B93" s="13" t="s">
        <v>109</v>
      </c>
      <c r="G93" s="16">
        <f>+SUM(G87,G89:G92)</f>
        <v>1075</v>
      </c>
      <c r="H93" s="82"/>
      <c r="I93" s="83"/>
      <c r="J93" s="16">
        <f>+SUM(J87,J89:J92)</f>
        <v>2733.9375</v>
      </c>
    </row>
    <row r="94" spans="2:10" x14ac:dyDescent="0.3">
      <c r="B94" s="13"/>
      <c r="G94" s="14"/>
      <c r="H94" s="82"/>
      <c r="I94" s="83"/>
      <c r="J94" s="14"/>
    </row>
    <row r="95" spans="2:10" x14ac:dyDescent="0.3">
      <c r="B95" s="9" t="s">
        <v>110</v>
      </c>
      <c r="C95" s="9"/>
      <c r="D95" s="9"/>
      <c r="E95" s="9"/>
      <c r="F95" s="9"/>
      <c r="G95" s="49">
        <v>1100</v>
      </c>
      <c r="H95" s="80">
        <f>-G95-J45</f>
        <v>-1219.2375</v>
      </c>
      <c r="I95" s="81">
        <f>+E47</f>
        <v>3176.5375000000004</v>
      </c>
      <c r="J95" s="59">
        <f>+SUM(G95:I95)</f>
        <v>3057.3</v>
      </c>
    </row>
    <row r="96" spans="2:10" x14ac:dyDescent="0.3">
      <c r="B96" s="13" t="s">
        <v>111</v>
      </c>
      <c r="G96" s="16">
        <f>+SUM(G93,G95)</f>
        <v>2175</v>
      </c>
      <c r="H96" s="86"/>
      <c r="I96" s="87"/>
      <c r="J96" s="16">
        <f>+SUM(J93,J95)</f>
        <v>5791.2375000000002</v>
      </c>
    </row>
    <row r="97" spans="2:10" x14ac:dyDescent="0.3">
      <c r="G97" s="45"/>
      <c r="H97" s="45"/>
      <c r="I97" s="45"/>
      <c r="J97" s="45"/>
    </row>
    <row r="98" spans="2:10" ht="12.9" x14ac:dyDescent="0.35">
      <c r="B98" s="2" t="s">
        <v>112</v>
      </c>
      <c r="G98" s="42">
        <f>+G81-G96</f>
        <v>0</v>
      </c>
      <c r="H98" s="61"/>
      <c r="I98" s="61"/>
      <c r="J98" s="42">
        <f>+J81-J96</f>
        <v>0</v>
      </c>
    </row>
    <row r="99" spans="2:10" ht="12.9" x14ac:dyDescent="0.35">
      <c r="B99" s="2"/>
      <c r="G99" s="42"/>
      <c r="H99" s="61"/>
      <c r="I99" s="61"/>
      <c r="J99" s="42"/>
    </row>
    <row r="100" spans="2:10" ht="12.9" x14ac:dyDescent="0.35">
      <c r="B100" s="3" t="s">
        <v>113</v>
      </c>
      <c r="C100" s="4"/>
      <c r="D100" s="4"/>
      <c r="E100" s="4"/>
      <c r="F100" s="4"/>
      <c r="G100" s="88"/>
      <c r="H100" s="89"/>
      <c r="I100" s="89"/>
      <c r="J100" s="88"/>
    </row>
    <row r="102" spans="2:10" x14ac:dyDescent="0.3">
      <c r="B102" s="5" t="s">
        <v>114</v>
      </c>
      <c r="C102" s="5"/>
      <c r="D102" s="5"/>
      <c r="E102" s="70">
        <v>2020</v>
      </c>
      <c r="F102" s="90">
        <f>+E102+1</f>
        <v>2021</v>
      </c>
      <c r="G102" s="90">
        <f>+F102+1</f>
        <v>2022</v>
      </c>
      <c r="H102" s="90">
        <f>+G102+1</f>
        <v>2023</v>
      </c>
      <c r="I102" s="90">
        <f>+H102+1</f>
        <v>2024</v>
      </c>
      <c r="J102" s="90">
        <f>+I102+1</f>
        <v>2025</v>
      </c>
    </row>
    <row r="104" spans="2:10" x14ac:dyDescent="0.3">
      <c r="B104" s="13" t="s">
        <v>115</v>
      </c>
      <c r="E104" s="91">
        <v>100</v>
      </c>
      <c r="F104" s="43">
        <f ca="1">+F121*F124</f>
        <v>172.125</v>
      </c>
      <c r="G104" s="43">
        <f ca="1">+G121*G124</f>
        <v>261</v>
      </c>
      <c r="H104" s="43">
        <f ca="1">+H121*H124</f>
        <v>368.125</v>
      </c>
      <c r="I104" s="43">
        <f ca="1">+I121*I124</f>
        <v>495</v>
      </c>
      <c r="J104" s="43">
        <f ca="1">+J121*J124</f>
        <v>643.125</v>
      </c>
    </row>
    <row r="105" spans="2:10" ht="12.9" x14ac:dyDescent="0.35">
      <c r="B105" s="11" t="s">
        <v>116</v>
      </c>
      <c r="C105" s="2"/>
      <c r="D105" s="2"/>
      <c r="E105" s="106" t="str">
        <f t="shared" ref="E105:J105" si="0">+IFERROR(E104/D104-1,"N/A")</f>
        <v>N/A</v>
      </c>
      <c r="F105" s="106">
        <f t="shared" ca="1" si="0"/>
        <v>0.72124999999999995</v>
      </c>
      <c r="G105" s="106">
        <f t="shared" ca="1" si="0"/>
        <v>0.51633986928104569</v>
      </c>
      <c r="H105" s="106">
        <f t="shared" ca="1" si="0"/>
        <v>0.41044061302681989</v>
      </c>
      <c r="I105" s="106">
        <f t="shared" ca="1" si="0"/>
        <v>0.34465195246179969</v>
      </c>
      <c r="J105" s="106">
        <f t="shared" ca="1" si="0"/>
        <v>0.29924242424242431</v>
      </c>
    </row>
    <row r="106" spans="2:10" ht="12.9" x14ac:dyDescent="0.35">
      <c r="B106" s="11"/>
      <c r="C106" s="2"/>
      <c r="D106" s="2"/>
      <c r="E106" s="92"/>
      <c r="F106" s="93"/>
      <c r="G106" s="93"/>
      <c r="H106" s="93"/>
      <c r="I106" s="93"/>
      <c r="J106" s="93"/>
    </row>
    <row r="107" spans="2:10" x14ac:dyDescent="0.3">
      <c r="B107" s="9" t="s">
        <v>117</v>
      </c>
      <c r="C107" s="9"/>
      <c r="D107" s="9"/>
      <c r="E107" s="59">
        <f t="shared" ref="E107:J107" si="1">+E108-E104</f>
        <v>-70</v>
      </c>
      <c r="F107" s="94">
        <f t="shared" ca="1" si="1"/>
        <v>-111.88124999999999</v>
      </c>
      <c r="G107" s="94">
        <f t="shared" ca="1" si="1"/>
        <v>-169.65</v>
      </c>
      <c r="H107" s="94">
        <f t="shared" ca="1" si="1"/>
        <v>-239.28125</v>
      </c>
      <c r="I107" s="94">
        <f t="shared" ca="1" si="1"/>
        <v>-321.75</v>
      </c>
      <c r="J107" s="94">
        <f t="shared" ca="1" si="1"/>
        <v>-418.03125</v>
      </c>
    </row>
    <row r="108" spans="2:10" x14ac:dyDescent="0.3">
      <c r="B108" s="13" t="s">
        <v>118</v>
      </c>
      <c r="C108" s="13"/>
      <c r="D108" s="13"/>
      <c r="E108" s="91">
        <v>30</v>
      </c>
      <c r="F108" s="60">
        <f ca="1">+F148*F104</f>
        <v>60.243749999999999</v>
      </c>
      <c r="G108" s="60">
        <f ca="1">+G148*G104</f>
        <v>91.35</v>
      </c>
      <c r="H108" s="60">
        <f ca="1">+H148*H104</f>
        <v>128.84375</v>
      </c>
      <c r="I108" s="60">
        <f ca="1">+I148*I104</f>
        <v>173.25</v>
      </c>
      <c r="J108" s="60">
        <f ca="1">+J148*J104</f>
        <v>225.09374999999997</v>
      </c>
    </row>
    <row r="109" spans="2:10" ht="12.9" x14ac:dyDescent="0.35">
      <c r="B109" s="11" t="s">
        <v>119</v>
      </c>
      <c r="C109" s="2"/>
      <c r="D109" s="2"/>
      <c r="E109" s="93">
        <f t="shared" ref="E109:J109" si="2">+E108/E$104</f>
        <v>0.3</v>
      </c>
      <c r="F109" s="93">
        <f t="shared" ca="1" si="2"/>
        <v>0.35</v>
      </c>
      <c r="G109" s="93">
        <f t="shared" ca="1" si="2"/>
        <v>0.35</v>
      </c>
      <c r="H109" s="93">
        <f t="shared" ca="1" si="2"/>
        <v>0.35</v>
      </c>
      <c r="I109" s="93">
        <f t="shared" ca="1" si="2"/>
        <v>0.35</v>
      </c>
      <c r="J109" s="93">
        <f t="shared" ca="1" si="2"/>
        <v>0.35</v>
      </c>
    </row>
    <row r="110" spans="2:10" ht="12.9" x14ac:dyDescent="0.35">
      <c r="B110" s="11"/>
      <c r="C110" s="2"/>
      <c r="D110" s="2"/>
      <c r="E110" s="93"/>
      <c r="F110" s="93"/>
      <c r="G110" s="93"/>
      <c r="H110" s="93"/>
      <c r="I110" s="93"/>
      <c r="J110" s="93"/>
    </row>
    <row r="111" spans="2:10" x14ac:dyDescent="0.3">
      <c r="B111" t="s">
        <v>120</v>
      </c>
      <c r="E111" s="44">
        <v>-10</v>
      </c>
      <c r="F111" s="45">
        <f ca="1">-F153*F104</f>
        <v>-12.909374999999999</v>
      </c>
      <c r="G111" s="45">
        <f ca="1">-G153*G104</f>
        <v>-19.574999999999999</v>
      </c>
      <c r="H111" s="45">
        <f ca="1">-H153*H104</f>
        <v>-27.609375</v>
      </c>
      <c r="I111" s="45">
        <f ca="1">-I153*I104</f>
        <v>-37.125</v>
      </c>
      <c r="J111" s="45">
        <f ca="1">-J153*J104</f>
        <v>-48.234375</v>
      </c>
    </row>
    <row r="112" spans="2:10" x14ac:dyDescent="0.3">
      <c r="B112" s="9" t="s">
        <v>121</v>
      </c>
      <c r="C112" s="9"/>
      <c r="D112" s="9"/>
      <c r="E112" s="49">
        <v>-5</v>
      </c>
      <c r="F112" s="94">
        <f ca="1">-F158*F104</f>
        <v>-4.3031250000000005</v>
      </c>
      <c r="G112" s="94">
        <f ca="1">-G158*G104</f>
        <v>-6.5250000000000004</v>
      </c>
      <c r="H112" s="94">
        <f ca="1">-H158*H104</f>
        <v>-9.203125</v>
      </c>
      <c r="I112" s="94">
        <f ca="1">-I158*I104</f>
        <v>-12.375</v>
      </c>
      <c r="J112" s="94">
        <f ca="1">-J158*J104</f>
        <v>-16.078125</v>
      </c>
    </row>
    <row r="113" spans="2:10" x14ac:dyDescent="0.3">
      <c r="B113" s="13" t="s">
        <v>122</v>
      </c>
      <c r="C113" s="13"/>
      <c r="D113" s="13"/>
      <c r="E113" s="60">
        <f t="shared" ref="E113:J113" si="3">+E108+E111+E112</f>
        <v>15</v>
      </c>
      <c r="F113" s="60">
        <f t="shared" ca="1" si="3"/>
        <v>43.03125</v>
      </c>
      <c r="G113" s="60">
        <f t="shared" ca="1" si="3"/>
        <v>65.249999999999986</v>
      </c>
      <c r="H113" s="60">
        <f t="shared" ca="1" si="3"/>
        <v>92.03125</v>
      </c>
      <c r="I113" s="60">
        <f t="shared" ca="1" si="3"/>
        <v>123.75</v>
      </c>
      <c r="J113" s="60">
        <f t="shared" ca="1" si="3"/>
        <v>160.78124999999997</v>
      </c>
    </row>
    <row r="114" spans="2:10" ht="12.9" x14ac:dyDescent="0.35">
      <c r="B114" s="11" t="s">
        <v>123</v>
      </c>
      <c r="C114" s="2"/>
      <c r="D114" s="2"/>
      <c r="E114" s="93">
        <f t="shared" ref="E114:J114" si="4">+E113/E$104</f>
        <v>0.15</v>
      </c>
      <c r="F114" s="93">
        <f t="shared" ca="1" si="4"/>
        <v>0.25</v>
      </c>
      <c r="G114" s="93">
        <f t="shared" ca="1" si="4"/>
        <v>0.24999999999999994</v>
      </c>
      <c r="H114" s="93">
        <f t="shared" ca="1" si="4"/>
        <v>0.25</v>
      </c>
      <c r="I114" s="93">
        <f t="shared" ca="1" si="4"/>
        <v>0.25</v>
      </c>
      <c r="J114" s="93">
        <f t="shared" ca="1" si="4"/>
        <v>0.24999999999999994</v>
      </c>
    </row>
    <row r="115" spans="2:10" ht="12.9" x14ac:dyDescent="0.35">
      <c r="B115" s="13"/>
      <c r="C115" s="2"/>
      <c r="D115" s="95"/>
      <c r="E115" s="92"/>
      <c r="F115" s="93"/>
      <c r="G115" s="93"/>
      <c r="H115" s="93"/>
      <c r="I115" s="93"/>
      <c r="J115" s="93"/>
    </row>
    <row r="116" spans="2:10" ht="12.9" x14ac:dyDescent="0.35">
      <c r="B116" t="s">
        <v>124</v>
      </c>
      <c r="D116" s="96">
        <v>2</v>
      </c>
      <c r="E116" s="2"/>
      <c r="F116" s="93"/>
      <c r="G116" s="93"/>
      <c r="H116" s="93"/>
      <c r="I116" s="93"/>
      <c r="J116" s="93"/>
    </row>
    <row r="117" spans="2:10" ht="12.9" x14ac:dyDescent="0.35">
      <c r="B117" t="s">
        <v>125</v>
      </c>
      <c r="D117" s="97" t="str">
        <f>+IF(D116=1,"Base",IF(D116=2,"Upside",IF(D116=3,"Downside","None")))</f>
        <v>Upside</v>
      </c>
      <c r="E117" s="2"/>
      <c r="F117" s="93"/>
      <c r="G117" s="93"/>
      <c r="H117" s="93"/>
      <c r="I117" s="93"/>
      <c r="J117" s="93"/>
    </row>
    <row r="118" spans="2:10" ht="12.9" x14ac:dyDescent="0.35">
      <c r="D118" s="97"/>
      <c r="E118" s="2"/>
      <c r="F118" s="93"/>
      <c r="G118" s="93"/>
      <c r="H118" s="93"/>
      <c r="I118" s="93"/>
      <c r="J118" s="93"/>
    </row>
    <row r="119" spans="2:10" x14ac:dyDescent="0.3">
      <c r="B119" s="98" t="s">
        <v>126</v>
      </c>
      <c r="C119" s="98"/>
      <c r="D119" s="99"/>
      <c r="E119" s="100"/>
      <c r="F119" s="101"/>
      <c r="G119" s="101"/>
      <c r="H119" s="101"/>
      <c r="I119" s="101"/>
      <c r="J119" s="101"/>
    </row>
    <row r="120" spans="2:10" x14ac:dyDescent="0.3">
      <c r="B120" s="102"/>
      <c r="C120" s="102"/>
      <c r="E120" s="91"/>
      <c r="F120" s="60"/>
      <c r="G120" s="60"/>
      <c r="H120" s="60"/>
      <c r="I120" s="60"/>
      <c r="J120" s="60"/>
    </row>
    <row r="121" spans="2:10" x14ac:dyDescent="0.3">
      <c r="B121" t="s">
        <v>127</v>
      </c>
      <c r="E121" s="44">
        <v>250</v>
      </c>
      <c r="F121" s="45">
        <f ca="1">+E121+F133</f>
        <v>270</v>
      </c>
      <c r="G121" s="45">
        <f ca="1">+F121+G133</f>
        <v>290</v>
      </c>
      <c r="H121" s="45">
        <f ca="1">+G121+H133</f>
        <v>310</v>
      </c>
      <c r="I121" s="45">
        <f ca="1">+H121+I133</f>
        <v>330</v>
      </c>
      <c r="J121" s="45">
        <f ca="1">+I121+J133</f>
        <v>350</v>
      </c>
    </row>
    <row r="122" spans="2:10" ht="12.9" x14ac:dyDescent="0.35">
      <c r="B122" s="11" t="s">
        <v>128</v>
      </c>
      <c r="C122" s="2"/>
      <c r="E122" s="103" t="str">
        <f t="shared" ref="E122:J122" si="5">+E133</f>
        <v>N/A</v>
      </c>
      <c r="F122" s="104">
        <f t="shared" ca="1" si="5"/>
        <v>20</v>
      </c>
      <c r="G122" s="104">
        <f t="shared" ca="1" si="5"/>
        <v>20</v>
      </c>
      <c r="H122" s="104">
        <f t="shared" ca="1" si="5"/>
        <v>20</v>
      </c>
      <c r="I122" s="104">
        <f t="shared" ca="1" si="5"/>
        <v>20</v>
      </c>
      <c r="J122" s="104">
        <f t="shared" ca="1" si="5"/>
        <v>20</v>
      </c>
    </row>
    <row r="123" spans="2:10" ht="12.9" x14ac:dyDescent="0.35">
      <c r="B123" s="11"/>
      <c r="C123" s="2"/>
      <c r="E123" s="92"/>
      <c r="F123" s="93"/>
      <c r="G123" s="93"/>
      <c r="H123" s="93"/>
      <c r="I123" s="93"/>
      <c r="J123" s="93"/>
    </row>
    <row r="124" spans="2:10" x14ac:dyDescent="0.3">
      <c r="B124" t="s">
        <v>129</v>
      </c>
      <c r="E124" s="105">
        <f>+E104/E121</f>
        <v>0.4</v>
      </c>
      <c r="F124" s="105">
        <f ca="1">+(F127/1000)*F130</f>
        <v>0.63749999999999996</v>
      </c>
      <c r="G124" s="105">
        <f ca="1">+(G127/1000)*G130</f>
        <v>0.9</v>
      </c>
      <c r="H124" s="105">
        <f ca="1">+(H127/1000)*H130</f>
        <v>1.1875</v>
      </c>
      <c r="I124" s="105">
        <f ca="1">+(I127/1000)*I130</f>
        <v>1.5</v>
      </c>
      <c r="J124" s="105">
        <f ca="1">+(J127/1000)*J130</f>
        <v>1.8374999999999999</v>
      </c>
    </row>
    <row r="125" spans="2:10" ht="12.9" x14ac:dyDescent="0.35">
      <c r="B125" s="11" t="s">
        <v>116</v>
      </c>
      <c r="C125" s="2"/>
      <c r="E125" s="106" t="str">
        <f t="shared" ref="E125:J125" si="6">+IFERROR(E124/D124-1,"N/A")</f>
        <v>N/A</v>
      </c>
      <c r="F125" s="106">
        <f t="shared" ca="1" si="6"/>
        <v>0.59374999999999978</v>
      </c>
      <c r="G125" s="106">
        <f t="shared" ca="1" si="6"/>
        <v>0.41176470588235303</v>
      </c>
      <c r="H125" s="106">
        <f t="shared" ca="1" si="6"/>
        <v>0.31944444444444442</v>
      </c>
      <c r="I125" s="106">
        <f t="shared" ca="1" si="6"/>
        <v>0.26315789473684204</v>
      </c>
      <c r="J125" s="106">
        <f t="shared" ca="1" si="6"/>
        <v>0.22499999999999987</v>
      </c>
    </row>
    <row r="126" spans="2:10" ht="12.9" x14ac:dyDescent="0.35">
      <c r="B126" s="11"/>
      <c r="C126" s="2"/>
      <c r="E126" s="106"/>
      <c r="F126" s="93"/>
      <c r="G126" s="93"/>
      <c r="H126" s="93"/>
      <c r="I126" s="93"/>
      <c r="J126" s="93"/>
    </row>
    <row r="127" spans="2:10" x14ac:dyDescent="0.3">
      <c r="B127" t="s">
        <v>130</v>
      </c>
      <c r="E127" s="44">
        <v>50</v>
      </c>
      <c r="F127" s="45">
        <f ca="1">+E127+F138</f>
        <v>75</v>
      </c>
      <c r="G127" s="45">
        <f ca="1">+F127+G138</f>
        <v>100</v>
      </c>
      <c r="H127" s="45">
        <f ca="1">+G127+H138</f>
        <v>125</v>
      </c>
      <c r="I127" s="45">
        <f ca="1">+H127+I138</f>
        <v>150</v>
      </c>
      <c r="J127" s="45">
        <f ca="1">+I127+J138</f>
        <v>175</v>
      </c>
    </row>
    <row r="128" spans="2:10" ht="12.9" x14ac:dyDescent="0.35">
      <c r="B128" s="11" t="s">
        <v>131</v>
      </c>
      <c r="C128" s="2"/>
      <c r="D128" s="2"/>
      <c r="E128" s="107" t="str">
        <f t="shared" ref="E128:J128" si="7">+E138</f>
        <v>N/A</v>
      </c>
      <c r="F128" s="104">
        <f t="shared" ca="1" si="7"/>
        <v>25</v>
      </c>
      <c r="G128" s="104">
        <f t="shared" ca="1" si="7"/>
        <v>25</v>
      </c>
      <c r="H128" s="104">
        <f t="shared" ca="1" si="7"/>
        <v>25</v>
      </c>
      <c r="I128" s="104">
        <f t="shared" ca="1" si="7"/>
        <v>25</v>
      </c>
      <c r="J128" s="104">
        <f t="shared" ca="1" si="7"/>
        <v>25</v>
      </c>
    </row>
    <row r="129" spans="2:10" x14ac:dyDescent="0.3">
      <c r="E129" s="108"/>
    </row>
    <row r="130" spans="2:10" x14ac:dyDescent="0.3">
      <c r="B130" t="s">
        <v>132</v>
      </c>
      <c r="E130" s="105">
        <f>+(E124*1000)/E127</f>
        <v>8</v>
      </c>
      <c r="F130" s="105">
        <f ca="1">+E130+F131</f>
        <v>8.5</v>
      </c>
      <c r="G130" s="105">
        <f ca="1">+F130+G131</f>
        <v>9</v>
      </c>
      <c r="H130" s="105">
        <f ca="1">+G130+H131</f>
        <v>9.5</v>
      </c>
      <c r="I130" s="105">
        <f ca="1">+H130+I131</f>
        <v>10</v>
      </c>
      <c r="J130" s="105">
        <f ca="1">+I130+J131</f>
        <v>10.5</v>
      </c>
    </row>
    <row r="131" spans="2:10" ht="12.9" x14ac:dyDescent="0.35">
      <c r="B131" s="11" t="s">
        <v>133</v>
      </c>
      <c r="C131" s="2"/>
      <c r="D131" s="2"/>
      <c r="E131" s="109" t="str">
        <f t="shared" ref="E131:J131" si="8">+E143</f>
        <v>N/A</v>
      </c>
      <c r="F131" s="109">
        <f t="shared" ca="1" si="8"/>
        <v>0.5</v>
      </c>
      <c r="G131" s="109">
        <f t="shared" ca="1" si="8"/>
        <v>0.5</v>
      </c>
      <c r="H131" s="109">
        <f t="shared" ca="1" si="8"/>
        <v>0.5</v>
      </c>
      <c r="I131" s="109">
        <f t="shared" ca="1" si="8"/>
        <v>0.5</v>
      </c>
      <c r="J131" s="109">
        <f t="shared" ca="1" si="8"/>
        <v>0.5</v>
      </c>
    </row>
    <row r="133" spans="2:10" ht="12.9" x14ac:dyDescent="0.35">
      <c r="B133" s="110" t="s">
        <v>128</v>
      </c>
      <c r="C133" s="111"/>
      <c r="D133" s="111"/>
      <c r="E133" s="112" t="s">
        <v>297</v>
      </c>
      <c r="F133" s="113">
        <f ca="1">+OFFSET(F133,$D$116,0)</f>
        <v>20</v>
      </c>
      <c r="G133" s="113">
        <f ca="1">+OFFSET(G133,$D$116,0)</f>
        <v>20</v>
      </c>
      <c r="H133" s="113">
        <f ca="1">+OFFSET(H133,$D$116,0)</f>
        <v>20</v>
      </c>
      <c r="I133" s="113">
        <f ca="1">+OFFSET(I133,$D$116,0)</f>
        <v>20</v>
      </c>
      <c r="J133" s="114">
        <f ca="1">+OFFSET(J133,$D$116,0)</f>
        <v>20</v>
      </c>
    </row>
    <row r="134" spans="2:10" ht="12.9" x14ac:dyDescent="0.35">
      <c r="B134" s="115" t="s">
        <v>134</v>
      </c>
      <c r="F134" s="116">
        <v>15</v>
      </c>
      <c r="G134" s="116">
        <v>15</v>
      </c>
      <c r="H134" s="116">
        <v>15</v>
      </c>
      <c r="I134" s="116">
        <v>15</v>
      </c>
      <c r="J134" s="116">
        <v>15</v>
      </c>
    </row>
    <row r="135" spans="2:10" ht="12.9" x14ac:dyDescent="0.35">
      <c r="B135" s="115" t="s">
        <v>135</v>
      </c>
      <c r="F135" s="116">
        <v>20</v>
      </c>
      <c r="G135" s="116">
        <v>20</v>
      </c>
      <c r="H135" s="116">
        <v>20</v>
      </c>
      <c r="I135" s="116">
        <v>20</v>
      </c>
      <c r="J135" s="116">
        <v>20</v>
      </c>
    </row>
    <row r="136" spans="2:10" ht="12.9" x14ac:dyDescent="0.35">
      <c r="B136" s="115" t="s">
        <v>136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</row>
    <row r="137" spans="2:10" x14ac:dyDescent="0.3">
      <c r="F137" s="45"/>
      <c r="G137" s="45"/>
      <c r="H137" s="45"/>
      <c r="I137" s="45"/>
      <c r="J137" s="45"/>
    </row>
    <row r="138" spans="2:10" ht="12.9" x14ac:dyDescent="0.35">
      <c r="B138" s="110" t="s">
        <v>137</v>
      </c>
      <c r="C138" s="111"/>
      <c r="D138" s="111"/>
      <c r="E138" s="112" t="s">
        <v>297</v>
      </c>
      <c r="F138" s="113">
        <f ca="1">+OFFSET(F138,$D$116,0)</f>
        <v>25</v>
      </c>
      <c r="G138" s="113">
        <f ca="1">+OFFSET(G138,$D$116,0)</f>
        <v>25</v>
      </c>
      <c r="H138" s="113">
        <f ca="1">+OFFSET(H138,$D$116,0)</f>
        <v>25</v>
      </c>
      <c r="I138" s="113">
        <f ca="1">+OFFSET(I138,$D$116,0)</f>
        <v>25</v>
      </c>
      <c r="J138" s="114">
        <f ca="1">+OFFSET(J138,$D$116,0)</f>
        <v>25</v>
      </c>
    </row>
    <row r="139" spans="2:10" ht="12.9" x14ac:dyDescent="0.35">
      <c r="B139" s="115" t="s">
        <v>134</v>
      </c>
      <c r="F139" s="116">
        <v>15</v>
      </c>
      <c r="G139" s="116">
        <v>15</v>
      </c>
      <c r="H139" s="116">
        <v>15</v>
      </c>
      <c r="I139" s="116">
        <v>15</v>
      </c>
      <c r="J139" s="116">
        <v>15</v>
      </c>
    </row>
    <row r="140" spans="2:10" ht="12.9" x14ac:dyDescent="0.35">
      <c r="B140" s="115" t="s">
        <v>135</v>
      </c>
      <c r="F140" s="116">
        <v>25</v>
      </c>
      <c r="G140" s="116">
        <v>25</v>
      </c>
      <c r="H140" s="116">
        <v>25</v>
      </c>
      <c r="I140" s="116">
        <v>25</v>
      </c>
      <c r="J140" s="116">
        <v>25</v>
      </c>
    </row>
    <row r="141" spans="2:10" ht="12.9" x14ac:dyDescent="0.35">
      <c r="B141" s="115" t="s">
        <v>136</v>
      </c>
      <c r="F141" s="116">
        <v>-5</v>
      </c>
      <c r="G141" s="116">
        <v>-5</v>
      </c>
      <c r="H141" s="116">
        <v>-5</v>
      </c>
      <c r="I141" s="116">
        <v>-5</v>
      </c>
      <c r="J141" s="116">
        <v>-5</v>
      </c>
    </row>
    <row r="142" spans="2:10" x14ac:dyDescent="0.3">
      <c r="E142" s="117"/>
      <c r="F142" s="117"/>
      <c r="G142" s="117"/>
      <c r="H142" s="117"/>
      <c r="I142" s="117"/>
      <c r="J142" s="117"/>
    </row>
    <row r="143" spans="2:10" ht="12.9" x14ac:dyDescent="0.35">
      <c r="B143" s="110" t="s">
        <v>133</v>
      </c>
      <c r="C143" s="111"/>
      <c r="D143" s="111"/>
      <c r="E143" s="112" t="s">
        <v>297</v>
      </c>
      <c r="F143" s="118">
        <f ca="1">+OFFSET(F143,$D$116,0)</f>
        <v>0.5</v>
      </c>
      <c r="G143" s="118">
        <f ca="1">+OFFSET(G143,$D$116,0)</f>
        <v>0.5</v>
      </c>
      <c r="H143" s="118">
        <f ca="1">+OFFSET(H143,$D$116,0)</f>
        <v>0.5</v>
      </c>
      <c r="I143" s="118">
        <f ca="1">+OFFSET(I143,$D$116,0)</f>
        <v>0.5</v>
      </c>
      <c r="J143" s="119">
        <f ca="1">+OFFSET(J143,$D$116,0)</f>
        <v>0.5</v>
      </c>
    </row>
    <row r="144" spans="2:10" ht="12.9" x14ac:dyDescent="0.35">
      <c r="B144" s="115" t="s">
        <v>134</v>
      </c>
      <c r="E144" s="117"/>
      <c r="F144" s="120">
        <v>0.25</v>
      </c>
      <c r="G144" s="120">
        <v>0.25</v>
      </c>
      <c r="H144" s="120">
        <v>0.25</v>
      </c>
      <c r="I144" s="120">
        <v>0.25</v>
      </c>
      <c r="J144" s="120">
        <v>0.25</v>
      </c>
    </row>
    <row r="145" spans="2:10" ht="12.9" x14ac:dyDescent="0.35">
      <c r="B145" s="115" t="s">
        <v>135</v>
      </c>
      <c r="E145" s="117"/>
      <c r="F145" s="120">
        <v>0.5</v>
      </c>
      <c r="G145" s="120">
        <v>0.5</v>
      </c>
      <c r="H145" s="120">
        <v>0.5</v>
      </c>
      <c r="I145" s="120">
        <v>0.5</v>
      </c>
      <c r="J145" s="120">
        <v>0.5</v>
      </c>
    </row>
    <row r="146" spans="2:10" ht="12.9" x14ac:dyDescent="0.35">
      <c r="B146" s="115" t="s">
        <v>136</v>
      </c>
      <c r="E146" s="117"/>
      <c r="F146" s="120">
        <v>-0.1</v>
      </c>
      <c r="G146" s="120">
        <v>-0.1</v>
      </c>
      <c r="H146" s="120">
        <v>-0.1</v>
      </c>
      <c r="I146" s="120">
        <v>-0.1</v>
      </c>
      <c r="J146" s="120">
        <v>-0.1</v>
      </c>
    </row>
    <row r="147" spans="2:10" x14ac:dyDescent="0.3">
      <c r="E147" s="117"/>
      <c r="F147" s="41"/>
      <c r="G147" s="41"/>
      <c r="H147" s="41"/>
      <c r="I147" s="41"/>
      <c r="J147" s="41"/>
    </row>
    <row r="148" spans="2:10" ht="12.9" x14ac:dyDescent="0.35">
      <c r="B148" s="110" t="s">
        <v>119</v>
      </c>
      <c r="C148" s="111"/>
      <c r="D148" s="111"/>
      <c r="E148" s="121">
        <f>+E108/E104</f>
        <v>0.3</v>
      </c>
      <c r="F148" s="112">
        <f ca="1">+OFFSET(F148,$D$116,0)</f>
        <v>0.35</v>
      </c>
      <c r="G148" s="112">
        <f ca="1">+OFFSET(G148,$D$116,0)</f>
        <v>0.35</v>
      </c>
      <c r="H148" s="112">
        <f ca="1">+OFFSET(H148,$D$116,0)</f>
        <v>0.35</v>
      </c>
      <c r="I148" s="112">
        <f ca="1">+OFFSET(I148,$D$116,0)</f>
        <v>0.35</v>
      </c>
      <c r="J148" s="122">
        <f ca="1">+OFFSET(J148,$D$116,0)</f>
        <v>0.35</v>
      </c>
    </row>
    <row r="149" spans="2:10" ht="12.9" x14ac:dyDescent="0.35">
      <c r="B149" s="115" t="s">
        <v>134</v>
      </c>
      <c r="C149" s="115"/>
      <c r="E149" s="117"/>
      <c r="F149" s="123">
        <v>0.3</v>
      </c>
      <c r="G149" s="123">
        <v>0.3</v>
      </c>
      <c r="H149" s="123">
        <v>0.3</v>
      </c>
      <c r="I149" s="123">
        <v>0.3</v>
      </c>
      <c r="J149" s="123">
        <v>0.3</v>
      </c>
    </row>
    <row r="150" spans="2:10" ht="12.9" x14ac:dyDescent="0.35">
      <c r="B150" s="115" t="s">
        <v>135</v>
      </c>
      <c r="C150" s="115"/>
      <c r="E150" s="117"/>
      <c r="F150" s="123">
        <v>0.35</v>
      </c>
      <c r="G150" s="123">
        <v>0.35</v>
      </c>
      <c r="H150" s="123">
        <v>0.35</v>
      </c>
      <c r="I150" s="123">
        <v>0.35</v>
      </c>
      <c r="J150" s="123">
        <v>0.35</v>
      </c>
    </row>
    <row r="151" spans="2:10" ht="12.9" x14ac:dyDescent="0.35">
      <c r="B151" s="115" t="s">
        <v>136</v>
      </c>
      <c r="C151" s="115"/>
      <c r="E151" s="117"/>
      <c r="F151" s="123">
        <v>0.25</v>
      </c>
      <c r="G151" s="123">
        <v>0.25</v>
      </c>
      <c r="H151" s="123">
        <v>0.25</v>
      </c>
      <c r="I151" s="123">
        <v>0.25</v>
      </c>
      <c r="J151" s="123">
        <v>0.25</v>
      </c>
    </row>
    <row r="152" spans="2:10" x14ac:dyDescent="0.3">
      <c r="E152" s="117"/>
      <c r="F152" s="41"/>
      <c r="G152" s="41"/>
      <c r="H152" s="41"/>
      <c r="I152" s="41"/>
      <c r="J152" s="41"/>
    </row>
    <row r="153" spans="2:10" ht="12.9" x14ac:dyDescent="0.35">
      <c r="B153" s="110" t="s">
        <v>138</v>
      </c>
      <c r="C153" s="111"/>
      <c r="D153" s="111"/>
      <c r="E153" s="121">
        <f>-E111/E104</f>
        <v>0.1</v>
      </c>
      <c r="F153" s="112">
        <f ca="1">+OFFSET(F153,$D$116,0)</f>
        <v>7.4999999999999997E-2</v>
      </c>
      <c r="G153" s="112">
        <f ca="1">+OFFSET(G153,$D$116,0)</f>
        <v>7.4999999999999997E-2</v>
      </c>
      <c r="H153" s="112">
        <f ca="1">+OFFSET(H153,$D$116,0)</f>
        <v>7.4999999999999997E-2</v>
      </c>
      <c r="I153" s="112">
        <f ca="1">+OFFSET(I153,$D$116,0)</f>
        <v>7.4999999999999997E-2</v>
      </c>
      <c r="J153" s="122">
        <f ca="1">+OFFSET(J153,$D$116,0)</f>
        <v>7.4999999999999997E-2</v>
      </c>
    </row>
    <row r="154" spans="2:10" ht="12.9" x14ac:dyDescent="0.35">
      <c r="B154" s="115" t="s">
        <v>134</v>
      </c>
      <c r="C154" s="115"/>
      <c r="E154" s="117"/>
      <c r="F154" s="123">
        <v>0.1</v>
      </c>
      <c r="G154" s="123">
        <v>0.1</v>
      </c>
      <c r="H154" s="123">
        <v>0.1</v>
      </c>
      <c r="I154" s="123">
        <v>0.1</v>
      </c>
      <c r="J154" s="123">
        <v>0.1</v>
      </c>
    </row>
    <row r="155" spans="2:10" ht="12.9" x14ac:dyDescent="0.35">
      <c r="B155" s="115" t="s">
        <v>135</v>
      </c>
      <c r="C155" s="115"/>
      <c r="E155" s="117"/>
      <c r="F155" s="123">
        <v>7.4999999999999997E-2</v>
      </c>
      <c r="G155" s="123">
        <v>7.4999999999999997E-2</v>
      </c>
      <c r="H155" s="123">
        <v>7.4999999999999997E-2</v>
      </c>
      <c r="I155" s="123">
        <v>7.4999999999999997E-2</v>
      </c>
      <c r="J155" s="123">
        <v>7.4999999999999997E-2</v>
      </c>
    </row>
    <row r="156" spans="2:10" ht="12.9" x14ac:dyDescent="0.35">
      <c r="B156" s="115" t="s">
        <v>136</v>
      </c>
      <c r="C156" s="115"/>
      <c r="E156" s="117"/>
      <c r="F156" s="123">
        <v>0.125</v>
      </c>
      <c r="G156" s="123">
        <v>0.125</v>
      </c>
      <c r="H156" s="123">
        <v>0.125</v>
      </c>
      <c r="I156" s="123">
        <v>0.125</v>
      </c>
      <c r="J156" s="123">
        <v>0.125</v>
      </c>
    </row>
    <row r="157" spans="2:10" x14ac:dyDescent="0.3">
      <c r="B157" s="115"/>
      <c r="C157" s="115"/>
      <c r="E157" s="117"/>
      <c r="F157" s="41"/>
      <c r="G157" s="41"/>
      <c r="H157" s="41"/>
      <c r="I157" s="41"/>
      <c r="J157" s="41"/>
    </row>
    <row r="158" spans="2:10" ht="12.9" x14ac:dyDescent="0.35">
      <c r="B158" s="110" t="s">
        <v>139</v>
      </c>
      <c r="C158" s="111"/>
      <c r="D158" s="111"/>
      <c r="E158" s="112">
        <f>-E112/E104</f>
        <v>0.05</v>
      </c>
      <c r="F158" s="112">
        <f ca="1">+OFFSET(F158,$D$116,0)</f>
        <v>2.5000000000000001E-2</v>
      </c>
      <c r="G158" s="112">
        <f ca="1">+OFFSET(G158,$D$116,0)</f>
        <v>2.5000000000000001E-2</v>
      </c>
      <c r="H158" s="112">
        <f ca="1">+OFFSET(H158,$D$116,0)</f>
        <v>2.5000000000000001E-2</v>
      </c>
      <c r="I158" s="112">
        <f ca="1">+OFFSET(I158,$D$116,0)</f>
        <v>2.5000000000000001E-2</v>
      </c>
      <c r="J158" s="122">
        <f ca="1">+OFFSET(J158,$D$116,0)</f>
        <v>2.5000000000000001E-2</v>
      </c>
    </row>
    <row r="159" spans="2:10" ht="12.9" x14ac:dyDescent="0.35">
      <c r="B159" s="115" t="s">
        <v>134</v>
      </c>
      <c r="C159" s="115"/>
      <c r="E159" s="117"/>
      <c r="F159" s="123">
        <v>0.05</v>
      </c>
      <c r="G159" s="123">
        <v>0.05</v>
      </c>
      <c r="H159" s="123">
        <v>0.05</v>
      </c>
      <c r="I159" s="123">
        <v>0.05</v>
      </c>
      <c r="J159" s="123">
        <v>0.05</v>
      </c>
    </row>
    <row r="160" spans="2:10" ht="12.9" x14ac:dyDescent="0.35">
      <c r="B160" s="115" t="s">
        <v>135</v>
      </c>
      <c r="C160" s="115"/>
      <c r="E160" s="117"/>
      <c r="F160" s="123">
        <v>2.5000000000000001E-2</v>
      </c>
      <c r="G160" s="123">
        <v>2.5000000000000001E-2</v>
      </c>
      <c r="H160" s="123">
        <v>2.5000000000000001E-2</v>
      </c>
      <c r="I160" s="123">
        <v>2.5000000000000001E-2</v>
      </c>
      <c r="J160" s="123">
        <v>2.5000000000000001E-2</v>
      </c>
    </row>
    <row r="161" spans="2:10" ht="12.9" x14ac:dyDescent="0.35">
      <c r="B161" s="115" t="s">
        <v>136</v>
      </c>
      <c r="C161" s="115"/>
      <c r="E161" s="117"/>
      <c r="F161" s="123">
        <v>0.01</v>
      </c>
      <c r="G161" s="123">
        <v>0.01</v>
      </c>
      <c r="H161" s="123">
        <v>0.01</v>
      </c>
      <c r="I161" s="123">
        <v>0.01</v>
      </c>
      <c r="J161" s="123">
        <v>0.01</v>
      </c>
    </row>
    <row r="163" spans="2:10" x14ac:dyDescent="0.3">
      <c r="B163" s="98" t="s">
        <v>140</v>
      </c>
      <c r="C163" s="98"/>
      <c r="D163" s="98"/>
      <c r="E163" s="98"/>
      <c r="F163" s="98"/>
      <c r="G163" s="98"/>
      <c r="H163" s="98"/>
      <c r="I163" s="98"/>
      <c r="J163" s="98"/>
    </row>
    <row r="164" spans="2:10" x14ac:dyDescent="0.3">
      <c r="E164" s="45"/>
      <c r="F164" s="43"/>
      <c r="G164" s="43"/>
      <c r="H164" s="43"/>
      <c r="I164" s="43"/>
      <c r="J164" s="43"/>
    </row>
    <row r="165" spans="2:10" x14ac:dyDescent="0.3">
      <c r="B165" t="s">
        <v>141</v>
      </c>
      <c r="F165" s="124">
        <f>+IF(AND($J$33=1,$J$35&lt;=F102),1,0)</f>
        <v>1</v>
      </c>
      <c r="G165" s="124">
        <f>+IF(AND($J$33=1,$J$35&lt;=G102),1,0)</f>
        <v>1</v>
      </c>
      <c r="H165" s="124">
        <f>+IF(AND($J$33=1,$J$35&lt;=H102),1,0)</f>
        <v>1</v>
      </c>
      <c r="I165" s="124">
        <f>+IF(AND($J$33=1,$J$35&lt;=I102),1,0)</f>
        <v>1</v>
      </c>
      <c r="J165" s="124">
        <f>+IF(AND($J$33=1,$J$35&lt;=J102),1,0)</f>
        <v>1</v>
      </c>
    </row>
    <row r="166" spans="2:10" x14ac:dyDescent="0.3">
      <c r="F166" s="125"/>
      <c r="G166" s="125"/>
      <c r="H166" s="125"/>
      <c r="I166" s="125"/>
      <c r="J166" s="125"/>
    </row>
    <row r="167" spans="2:10" x14ac:dyDescent="0.3">
      <c r="B167" t="s">
        <v>142</v>
      </c>
      <c r="E167" s="45"/>
      <c r="F167" s="126">
        <f>+$J$34</f>
        <v>9.5</v>
      </c>
      <c r="G167" s="126">
        <f>+$J$34</f>
        <v>9.5</v>
      </c>
      <c r="H167" s="126">
        <f>+$J$34</f>
        <v>9.5</v>
      </c>
      <c r="I167" s="126">
        <f>+$J$34</f>
        <v>9.5</v>
      </c>
      <c r="J167" s="126">
        <f>+$J$34</f>
        <v>9.5</v>
      </c>
    </row>
    <row r="168" spans="2:10" x14ac:dyDescent="0.3">
      <c r="B168" t="s">
        <v>143</v>
      </c>
      <c r="E168" s="45"/>
      <c r="F168" s="43">
        <f ca="1">+F167*F113</f>
        <v>408.796875</v>
      </c>
      <c r="G168" s="43">
        <f ca="1">+G167*G113</f>
        <v>619.87499999999989</v>
      </c>
      <c r="H168" s="43">
        <f ca="1">+H167*H113</f>
        <v>874.296875</v>
      </c>
      <c r="I168" s="43">
        <f ca="1">+I167*I113</f>
        <v>1175.625</v>
      </c>
      <c r="J168" s="43">
        <f ca="1">+J167*J113</f>
        <v>1527.4218749999998</v>
      </c>
    </row>
    <row r="169" spans="2:10" x14ac:dyDescent="0.3">
      <c r="E169" s="45"/>
      <c r="F169" s="127"/>
      <c r="G169" s="127"/>
      <c r="H169" s="127"/>
      <c r="I169" s="127"/>
      <c r="J169" s="127"/>
    </row>
    <row r="170" spans="2:10" ht="12.9" x14ac:dyDescent="0.35">
      <c r="B170" s="3" t="s">
        <v>144</v>
      </c>
      <c r="C170" s="4"/>
      <c r="D170" s="4"/>
      <c r="E170" s="128"/>
      <c r="F170" s="128"/>
      <c r="G170" s="128"/>
      <c r="H170" s="128"/>
      <c r="I170" s="128"/>
      <c r="J170" s="128"/>
    </row>
    <row r="172" spans="2:10" x14ac:dyDescent="0.3">
      <c r="B172" s="5" t="s">
        <v>145</v>
      </c>
      <c r="C172" s="5"/>
      <c r="D172" s="5"/>
      <c r="E172" s="70">
        <v>2020</v>
      </c>
      <c r="F172" s="90">
        <f>+E172+1</f>
        <v>2021</v>
      </c>
      <c r="G172" s="90">
        <f>+F172+1</f>
        <v>2022</v>
      </c>
      <c r="H172" s="90">
        <f>+G172+1</f>
        <v>2023</v>
      </c>
      <c r="I172" s="90">
        <f>+H172+1</f>
        <v>2024</v>
      </c>
      <c r="J172" s="90">
        <f>+I172+1</f>
        <v>2025</v>
      </c>
    </row>
    <row r="174" spans="2:10" x14ac:dyDescent="0.3">
      <c r="B174" t="s">
        <v>146</v>
      </c>
      <c r="E174" s="77">
        <v>1500</v>
      </c>
      <c r="F174" s="58">
        <f ca="1">+E174*(1+F232)</f>
        <v>1650.0000000000002</v>
      </c>
      <c r="G174" s="58">
        <f ca="1">+F174*(1+G232)</f>
        <v>1815.0000000000005</v>
      </c>
      <c r="H174" s="58">
        <f ca="1">+G174*(1+H232)</f>
        <v>1996.5000000000007</v>
      </c>
      <c r="I174" s="58">
        <f ca="1">+H174*(1+I232)</f>
        <v>2196.150000000001</v>
      </c>
      <c r="J174" s="58">
        <f ca="1">+I174*(1+J232)</f>
        <v>2415.7650000000012</v>
      </c>
    </row>
    <row r="175" spans="2:10" x14ac:dyDescent="0.3">
      <c r="B175" s="9" t="s">
        <v>147</v>
      </c>
      <c r="C175" s="9"/>
      <c r="D175" s="9"/>
      <c r="E175" s="49">
        <v>0</v>
      </c>
      <c r="F175" s="59">
        <f ca="1">+IF(AND($J$33=1,F165=1),F104,0)</f>
        <v>172.125</v>
      </c>
      <c r="G175" s="59">
        <f ca="1">+IF(AND($J$33=1,G165=1),G104,0)</f>
        <v>261</v>
      </c>
      <c r="H175" s="59">
        <f ca="1">+IF(AND($J$33=1,H165=1),H104,0)</f>
        <v>368.125</v>
      </c>
      <c r="I175" s="59">
        <f ca="1">+IF(AND($J$33=1,I165=1),I104,0)</f>
        <v>495</v>
      </c>
      <c r="J175" s="59">
        <f ca="1">+IF(AND($J$33=1,J165=1),J104,0)</f>
        <v>643.125</v>
      </c>
    </row>
    <row r="176" spans="2:10" x14ac:dyDescent="0.3">
      <c r="B176" s="13" t="s">
        <v>148</v>
      </c>
      <c r="C176" s="13"/>
      <c r="D176" s="13"/>
      <c r="E176" s="16">
        <f t="shared" ref="E176:J176" si="9">+SUM(E174:E175)</f>
        <v>1500</v>
      </c>
      <c r="F176" s="16">
        <f t="shared" ca="1" si="9"/>
        <v>1822.1250000000002</v>
      </c>
      <c r="G176" s="16">
        <f t="shared" ca="1" si="9"/>
        <v>2076.0000000000005</v>
      </c>
      <c r="H176" s="16">
        <f t="shared" ca="1" si="9"/>
        <v>2364.6250000000009</v>
      </c>
      <c r="I176" s="16">
        <f t="shared" ca="1" si="9"/>
        <v>2691.150000000001</v>
      </c>
      <c r="J176" s="16">
        <f t="shared" ca="1" si="9"/>
        <v>3058.8900000000012</v>
      </c>
    </row>
    <row r="177" spans="2:10" ht="12.9" x14ac:dyDescent="0.35">
      <c r="B177" s="11" t="s">
        <v>149</v>
      </c>
      <c r="C177" s="2"/>
      <c r="D177" s="2"/>
      <c r="E177" s="106" t="str">
        <f t="shared" ref="E177:J177" si="10">+IFERROR(E176/D176-1,"N/A")</f>
        <v>N/A</v>
      </c>
      <c r="F177" s="106">
        <f t="shared" ca="1" si="10"/>
        <v>0.21475000000000022</v>
      </c>
      <c r="G177" s="106">
        <f t="shared" ca="1" si="10"/>
        <v>0.13932908005762523</v>
      </c>
      <c r="H177" s="106">
        <f t="shared" ca="1" si="10"/>
        <v>0.13902938342967253</v>
      </c>
      <c r="I177" s="106">
        <f t="shared" ca="1" si="10"/>
        <v>0.1380874345826506</v>
      </c>
      <c r="J177" s="106">
        <f t="shared" ca="1" si="10"/>
        <v>0.13664790145476835</v>
      </c>
    </row>
    <row r="178" spans="2:10" x14ac:dyDescent="0.3">
      <c r="E178" s="44"/>
      <c r="F178" s="42"/>
      <c r="G178" s="42"/>
      <c r="H178" s="42"/>
      <c r="I178" s="42"/>
      <c r="J178" s="42"/>
    </row>
    <row r="179" spans="2:10" x14ac:dyDescent="0.3">
      <c r="B179" t="s">
        <v>150</v>
      </c>
      <c r="E179" s="44">
        <v>-975</v>
      </c>
      <c r="F179" s="42">
        <f ca="1">+(F237*F174)-F174</f>
        <v>-1072.5000000000002</v>
      </c>
      <c r="G179" s="42">
        <f ca="1">+(G237*G174)-G174</f>
        <v>-1179.7500000000005</v>
      </c>
      <c r="H179" s="42">
        <f ca="1">+(H237*H174)-H174</f>
        <v>-1297.7250000000004</v>
      </c>
      <c r="I179" s="42">
        <f ca="1">+(I237*I174)-I174</f>
        <v>-1427.4975000000009</v>
      </c>
      <c r="J179" s="42">
        <f ca="1">+(J237*J174)-J174</f>
        <v>-1570.2472500000008</v>
      </c>
    </row>
    <row r="180" spans="2:10" x14ac:dyDescent="0.3">
      <c r="B180" s="9" t="s">
        <v>151</v>
      </c>
      <c r="C180" s="9"/>
      <c r="D180" s="9"/>
      <c r="E180" s="49">
        <v>0</v>
      </c>
      <c r="F180" s="59">
        <f ca="1">+IF(AND($J$33=1,F$165=1),F107,0)</f>
        <v>-111.88124999999999</v>
      </c>
      <c r="G180" s="59">
        <f ca="1">+IF(AND($J$33=1,G$165=1),G107,0)</f>
        <v>-169.65</v>
      </c>
      <c r="H180" s="59">
        <f ca="1">+IF(AND($J$33=1,H$165=1),H107,0)</f>
        <v>-239.28125</v>
      </c>
      <c r="I180" s="59">
        <f ca="1">+IF(AND($J$33=1,I$165=1),I107,0)</f>
        <v>-321.75</v>
      </c>
      <c r="J180" s="59">
        <f ca="1">+IF(AND($J$33=1,J$165=1),J107,0)</f>
        <v>-418.03125</v>
      </c>
    </row>
    <row r="181" spans="2:10" x14ac:dyDescent="0.3">
      <c r="B181" s="13" t="s">
        <v>118</v>
      </c>
      <c r="C181" s="13"/>
      <c r="D181" s="13"/>
      <c r="E181" s="16">
        <f t="shared" ref="E181:J181" si="11">+E176+SUM(E179:E180)</f>
        <v>525</v>
      </c>
      <c r="F181" s="16">
        <f t="shared" ca="1" si="11"/>
        <v>637.74375000000009</v>
      </c>
      <c r="G181" s="16">
        <f t="shared" ca="1" si="11"/>
        <v>726.59999999999991</v>
      </c>
      <c r="H181" s="16">
        <f t="shared" ca="1" si="11"/>
        <v>827.61875000000055</v>
      </c>
      <c r="I181" s="16">
        <f t="shared" ca="1" si="11"/>
        <v>941.90250000000015</v>
      </c>
      <c r="J181" s="16">
        <f t="shared" ca="1" si="11"/>
        <v>1070.6115000000004</v>
      </c>
    </row>
    <row r="182" spans="2:10" ht="12.9" x14ac:dyDescent="0.35">
      <c r="B182" s="11" t="s">
        <v>152</v>
      </c>
      <c r="C182" s="2"/>
      <c r="D182" s="2"/>
      <c r="E182" s="129">
        <f>+E181/E$174</f>
        <v>0.35</v>
      </c>
      <c r="F182" s="129">
        <f ca="1">+F181/F$176</f>
        <v>0.35000000000000003</v>
      </c>
      <c r="G182" s="129">
        <f ca="1">+G181/G$176</f>
        <v>0.34999999999999987</v>
      </c>
      <c r="H182" s="129">
        <f ca="1">+H181/H$176</f>
        <v>0.35000000000000009</v>
      </c>
      <c r="I182" s="129">
        <f ca="1">+I181/I$176</f>
        <v>0.34999999999999992</v>
      </c>
      <c r="J182" s="129">
        <f ca="1">+J181/J$176</f>
        <v>0.35</v>
      </c>
    </row>
    <row r="183" spans="2:10" x14ac:dyDescent="0.3">
      <c r="B183" s="13"/>
      <c r="C183" s="13"/>
      <c r="D183" s="13"/>
      <c r="E183" s="16"/>
      <c r="F183" s="16"/>
      <c r="G183" s="16"/>
      <c r="H183" s="16"/>
      <c r="I183" s="16"/>
      <c r="J183" s="16"/>
    </row>
    <row r="184" spans="2:10" x14ac:dyDescent="0.3">
      <c r="B184" t="s">
        <v>153</v>
      </c>
      <c r="E184" s="44">
        <v>-150</v>
      </c>
      <c r="F184" s="42">
        <f ca="1">-F242*F$174</f>
        <v>-165.00000000000003</v>
      </c>
      <c r="G184" s="42">
        <f ca="1">-G242*G$174</f>
        <v>-181.50000000000006</v>
      </c>
      <c r="H184" s="42">
        <f ca="1">-H242*H$174</f>
        <v>-199.65000000000009</v>
      </c>
      <c r="I184" s="42">
        <f ca="1">-I242*I$174</f>
        <v>-219.61500000000012</v>
      </c>
      <c r="J184" s="42">
        <f ca="1">-J242*J$174</f>
        <v>-241.57650000000012</v>
      </c>
    </row>
    <row r="185" spans="2:10" x14ac:dyDescent="0.3">
      <c r="B185" t="s">
        <v>154</v>
      </c>
      <c r="E185" s="44">
        <v>0</v>
      </c>
      <c r="F185" s="42">
        <f ca="1">+IF(AND($J$33=1,F$165=1),F111,0)</f>
        <v>-12.909374999999999</v>
      </c>
      <c r="G185" s="42">
        <f ca="1">+IF(AND($J$33=1,G$165=1),G111,0)</f>
        <v>-19.574999999999999</v>
      </c>
      <c r="H185" s="42">
        <f ca="1">+IF(AND($J$33=1,H$165=1),H111,0)</f>
        <v>-27.609375</v>
      </c>
      <c r="I185" s="42">
        <f ca="1">+IF(AND($J$33=1,I$165=1),I111,0)</f>
        <v>-37.125</v>
      </c>
      <c r="J185" s="42">
        <f ca="1">+IF(AND($J$33=1,J$165=1),J111,0)</f>
        <v>-48.234375</v>
      </c>
    </row>
    <row r="186" spans="2:10" x14ac:dyDescent="0.3">
      <c r="B186" t="s">
        <v>155</v>
      </c>
      <c r="E186" s="44">
        <v>-30</v>
      </c>
      <c r="F186" s="42">
        <f ca="1">-F247*F$174</f>
        <v>-33.000000000000007</v>
      </c>
      <c r="G186" s="42">
        <f ca="1">-G247*G$174</f>
        <v>-36.300000000000011</v>
      </c>
      <c r="H186" s="42">
        <f ca="1">-H247*H$174</f>
        <v>-39.930000000000014</v>
      </c>
      <c r="I186" s="42">
        <f ca="1">-I247*I$174</f>
        <v>-43.923000000000023</v>
      </c>
      <c r="J186" s="42">
        <f ca="1">-J247*J$174</f>
        <v>-48.315300000000029</v>
      </c>
    </row>
    <row r="187" spans="2:10" x14ac:dyDescent="0.3">
      <c r="B187" t="s">
        <v>156</v>
      </c>
      <c r="E187" s="44">
        <v>0</v>
      </c>
      <c r="F187" s="42">
        <f ca="1">+IF(AND($J$33=1,F$165=1),F112,0)</f>
        <v>-4.3031250000000005</v>
      </c>
      <c r="G187" s="42">
        <f ca="1">+IF(AND($J$33=1,G$165=1),G112,0)</f>
        <v>-6.5250000000000004</v>
      </c>
      <c r="H187" s="42">
        <f ca="1">+IF(AND($J$33=1,H$165=1),H112,0)</f>
        <v>-9.203125</v>
      </c>
      <c r="I187" s="42">
        <f ca="1">+IF(AND($J$33=1,I$165=1),I112,0)</f>
        <v>-12.375</v>
      </c>
      <c r="J187" s="42">
        <f ca="1">+IF(AND($J$33=1,J$165=1),J112,0)</f>
        <v>-16.078125</v>
      </c>
    </row>
    <row r="188" spans="2:10" x14ac:dyDescent="0.3">
      <c r="B188" s="130" t="s">
        <v>122</v>
      </c>
      <c r="C188" s="130"/>
      <c r="D188" s="130"/>
      <c r="E188" s="131">
        <f t="shared" ref="E188:J188" si="12">+E181+SUM(E184:E187)</f>
        <v>345</v>
      </c>
      <c r="F188" s="131">
        <f t="shared" ca="1" si="12"/>
        <v>422.53125000000006</v>
      </c>
      <c r="G188" s="131">
        <f t="shared" ca="1" si="12"/>
        <v>482.69999999999982</v>
      </c>
      <c r="H188" s="131">
        <f t="shared" ca="1" si="12"/>
        <v>551.22625000000039</v>
      </c>
      <c r="I188" s="131">
        <f t="shared" ca="1" si="12"/>
        <v>628.86450000000002</v>
      </c>
      <c r="J188" s="131">
        <f t="shared" ca="1" si="12"/>
        <v>716.40720000000033</v>
      </c>
    </row>
    <row r="189" spans="2:10" x14ac:dyDescent="0.3">
      <c r="B189" s="9" t="s">
        <v>157</v>
      </c>
      <c r="C189" s="9"/>
      <c r="D189" s="9"/>
      <c r="E189" s="132">
        <v>0</v>
      </c>
      <c r="F189" s="59">
        <f ca="1">-F295</f>
        <v>-9.8741883116883038</v>
      </c>
      <c r="G189" s="59">
        <f t="shared" ref="G189:J189" ca="1" si="13">-G295</f>
        <v>-9.5115753811405668</v>
      </c>
      <c r="H189" s="59">
        <f t="shared" ca="1" si="13"/>
        <v>-9.1306802837994141</v>
      </c>
      <c r="I189" s="59">
        <f t="shared" ca="1" si="13"/>
        <v>-8.6998203571722179</v>
      </c>
      <c r="J189" s="59">
        <f t="shared" ca="1" si="13"/>
        <v>-8.1958625670412317</v>
      </c>
    </row>
    <row r="190" spans="2:10" x14ac:dyDescent="0.3">
      <c r="B190" s="13" t="s">
        <v>158</v>
      </c>
      <c r="C190" s="13"/>
      <c r="D190" s="13"/>
      <c r="E190" s="16">
        <f t="shared" ref="E190:J190" si="14">SUM(E188:E189)</f>
        <v>345</v>
      </c>
      <c r="F190" s="16">
        <f t="shared" ca="1" si="14"/>
        <v>412.65706168831173</v>
      </c>
      <c r="G190" s="16">
        <f t="shared" ca="1" si="14"/>
        <v>473.18842461885924</v>
      </c>
      <c r="H190" s="16">
        <f t="shared" ca="1" si="14"/>
        <v>542.095569716201</v>
      </c>
      <c r="I190" s="16">
        <f t="shared" ca="1" si="14"/>
        <v>620.16467964282776</v>
      </c>
      <c r="J190" s="16">
        <f t="shared" ca="1" si="14"/>
        <v>708.21133743295911</v>
      </c>
    </row>
    <row r="191" spans="2:10" ht="12.9" x14ac:dyDescent="0.35">
      <c r="B191" s="11" t="s">
        <v>159</v>
      </c>
      <c r="C191" s="133"/>
      <c r="D191" s="133"/>
      <c r="E191" s="129">
        <f>+E188/E$174</f>
        <v>0.23</v>
      </c>
      <c r="F191" s="129">
        <f ca="1">+F190/F$176</f>
        <v>0.22647022662457936</v>
      </c>
      <c r="G191" s="129">
        <f ca="1">+G190/G$176</f>
        <v>0.22793276715744659</v>
      </c>
      <c r="H191" s="129">
        <f ca="1">+H190/H$176</f>
        <v>0.229252236492552</v>
      </c>
      <c r="I191" s="129">
        <f ca="1">+I190/I$176</f>
        <v>0.23044597277848783</v>
      </c>
      <c r="J191" s="129">
        <f ca="1">+J190/J$176</f>
        <v>0.23152559831604236</v>
      </c>
    </row>
    <row r="192" spans="2:10" x14ac:dyDescent="0.3">
      <c r="B192" s="13"/>
      <c r="C192" s="13"/>
      <c r="D192" s="13"/>
      <c r="E192" s="16"/>
      <c r="F192" s="16"/>
      <c r="G192" s="16"/>
      <c r="H192" s="16"/>
      <c r="I192" s="16"/>
      <c r="J192" s="16"/>
    </row>
    <row r="193" spans="2:10" x14ac:dyDescent="0.3">
      <c r="B193" t="s">
        <v>160</v>
      </c>
      <c r="E193" s="44">
        <v>-30</v>
      </c>
      <c r="F193" s="42">
        <f ca="1">-F252*F174</f>
        <v>-33.000000000000007</v>
      </c>
      <c r="G193" s="42">
        <f ca="1">-G252*G174</f>
        <v>-36.300000000000011</v>
      </c>
      <c r="H193" s="42">
        <f ca="1">-H252*H174</f>
        <v>-39.930000000000014</v>
      </c>
      <c r="I193" s="42">
        <f ca="1">-I252*I174</f>
        <v>-43.923000000000023</v>
      </c>
      <c r="J193" s="42">
        <f ca="1">-J252*J174</f>
        <v>-48.315300000000029</v>
      </c>
    </row>
    <row r="194" spans="2:10" x14ac:dyDescent="0.3">
      <c r="B194" t="s">
        <v>161</v>
      </c>
      <c r="E194" s="44">
        <v>0</v>
      </c>
      <c r="F194" s="42">
        <f>-$J$56</f>
        <v>-25.79666666666667</v>
      </c>
      <c r="G194" s="42">
        <f>-$J$56</f>
        <v>-25.79666666666667</v>
      </c>
      <c r="H194" s="42">
        <f>-$J$56</f>
        <v>-25.79666666666667</v>
      </c>
      <c r="I194" s="42">
        <f>-$J$56</f>
        <v>-25.79666666666667</v>
      </c>
      <c r="J194" s="42">
        <f>-$J$56</f>
        <v>-25.79666666666667</v>
      </c>
    </row>
    <row r="195" spans="2:10" x14ac:dyDescent="0.3">
      <c r="B195" t="s">
        <v>162</v>
      </c>
      <c r="E195" s="44">
        <v>0</v>
      </c>
      <c r="F195" s="42">
        <f>-$J$63</f>
        <v>-12.5</v>
      </c>
      <c r="G195" s="42">
        <f>-$J$63</f>
        <v>-12.5</v>
      </c>
      <c r="H195" s="42">
        <f>-$J$63</f>
        <v>-12.5</v>
      </c>
      <c r="I195" s="42">
        <f>-$J$63</f>
        <v>-12.5</v>
      </c>
      <c r="J195" s="42">
        <f>-$J$63</f>
        <v>-12.5</v>
      </c>
    </row>
    <row r="196" spans="2:10" x14ac:dyDescent="0.3">
      <c r="B196" s="9" t="s">
        <v>163</v>
      </c>
      <c r="C196" s="9"/>
      <c r="D196" s="9"/>
      <c r="E196" s="134">
        <v>0</v>
      </c>
      <c r="F196" s="59">
        <f>-$E$22</f>
        <v>-5</v>
      </c>
      <c r="G196" s="59">
        <f>-$E$22</f>
        <v>-5</v>
      </c>
      <c r="H196" s="59">
        <f>-$E$22</f>
        <v>-5</v>
      </c>
      <c r="I196" s="59">
        <f>-$E$22</f>
        <v>-5</v>
      </c>
      <c r="J196" s="59">
        <f>-$E$22</f>
        <v>-5</v>
      </c>
    </row>
    <row r="197" spans="2:10" x14ac:dyDescent="0.3">
      <c r="B197" s="13" t="s">
        <v>164</v>
      </c>
      <c r="C197" s="13"/>
      <c r="D197" s="13"/>
      <c r="E197" s="16">
        <f t="shared" ref="E197:J197" si="15">+E190+SUM(E193:E196)</f>
        <v>315</v>
      </c>
      <c r="F197" s="16">
        <f t="shared" ca="1" si="15"/>
        <v>336.36039502164505</v>
      </c>
      <c r="G197" s="16">
        <f t="shared" ca="1" si="15"/>
        <v>393.59175795219255</v>
      </c>
      <c r="H197" s="16">
        <f t="shared" ca="1" si="15"/>
        <v>458.86890304953431</v>
      </c>
      <c r="I197" s="16">
        <f t="shared" ca="1" si="15"/>
        <v>532.94501297616102</v>
      </c>
      <c r="J197" s="16">
        <f t="shared" ca="1" si="15"/>
        <v>616.5993707662924</v>
      </c>
    </row>
    <row r="198" spans="2:10" ht="12.9" x14ac:dyDescent="0.35">
      <c r="B198" s="11" t="s">
        <v>165</v>
      </c>
      <c r="C198" s="133"/>
      <c r="D198" s="133"/>
      <c r="E198" s="129">
        <f>+E197/E$174</f>
        <v>0.21</v>
      </c>
      <c r="F198" s="129">
        <f ca="1">+F197/F$176</f>
        <v>0.18459787062997599</v>
      </c>
      <c r="G198" s="129">
        <f ca="1">+G197/G$176</f>
        <v>0.18959140556463991</v>
      </c>
      <c r="H198" s="129">
        <f ca="1">+H197/H$176</f>
        <v>0.19405567607951965</v>
      </c>
      <c r="I198" s="129">
        <f ca="1">+I197/I$176</f>
        <v>0.19803616036867541</v>
      </c>
      <c r="J198" s="129">
        <f ca="1">+J197/J$176</f>
        <v>0.20157618311423167</v>
      </c>
    </row>
    <row r="199" spans="2:10" x14ac:dyDescent="0.3">
      <c r="B199" s="13"/>
      <c r="C199" s="13"/>
      <c r="D199" s="13"/>
      <c r="E199" s="16"/>
      <c r="F199" s="16"/>
      <c r="G199" s="16"/>
      <c r="H199" s="16"/>
      <c r="I199" s="16"/>
      <c r="J199" s="16"/>
    </row>
    <row r="200" spans="2:10" x14ac:dyDescent="0.3">
      <c r="B200" t="s">
        <v>166</v>
      </c>
      <c r="E200" s="44">
        <v>-15</v>
      </c>
      <c r="F200" s="42">
        <f ca="1">-IF($J$23=1,SUM(F316,F318,F329,F350),0)</f>
        <v>-122.34943978757933</v>
      </c>
      <c r="G200" s="42">
        <f ca="1">-IF($J$23=1,SUM(G316,G318,G329,G350),0)</f>
        <v>-128.14138732745968</v>
      </c>
      <c r="H200" s="42">
        <f ca="1">-IF($J$23=1,SUM(H316,H318,H329,H350),0)</f>
        <v>-119.63295679369783</v>
      </c>
      <c r="I200" s="42">
        <f ca="1">-IF($J$23=1,SUM(I316,I318,I329,I350),0)</f>
        <v>-230.40261477058425</v>
      </c>
      <c r="J200" s="42">
        <f ca="1">-IF($J$23=1,SUM(J316,J318,J329,J350),0)</f>
        <v>-217.04439912604485</v>
      </c>
    </row>
    <row r="201" spans="2:10" x14ac:dyDescent="0.3">
      <c r="B201" s="9" t="s">
        <v>167</v>
      </c>
      <c r="C201" s="9"/>
      <c r="D201" s="9"/>
      <c r="E201" s="49">
        <v>0</v>
      </c>
      <c r="F201" s="59">
        <f>-IF($J$23=1,$J$30/$J$21+F352,0)</f>
        <v>-10.35</v>
      </c>
      <c r="G201" s="59">
        <f>-IF($J$23=1,$J$30/$J$21+G352,0)</f>
        <v>-10.35</v>
      </c>
      <c r="H201" s="59">
        <f>-IF($J$23=1,$J$30/$J$21+H352,0)</f>
        <v>-10.35</v>
      </c>
      <c r="I201" s="59">
        <f ca="1">-IF($J$23=1,$J$30/$J$21+I352,0)</f>
        <v>-13.917786243457956</v>
      </c>
      <c r="J201" s="59">
        <f ca="1">-IF($J$23=1,$J$30/$J$21+J352,0)</f>
        <v>-13.917786243457956</v>
      </c>
    </row>
    <row r="202" spans="2:10" x14ac:dyDescent="0.3">
      <c r="B202" s="13" t="s">
        <v>168</v>
      </c>
      <c r="C202" s="13"/>
      <c r="D202" s="13"/>
      <c r="E202" s="16">
        <f t="shared" ref="E202:J202" si="16">+E197+SUM(E200:E201)</f>
        <v>300</v>
      </c>
      <c r="F202" s="16">
        <f t="shared" ca="1" si="16"/>
        <v>203.66095523406571</v>
      </c>
      <c r="G202" s="16">
        <f t="shared" ca="1" si="16"/>
        <v>255.10037062473288</v>
      </c>
      <c r="H202" s="16">
        <f t="shared" ca="1" si="16"/>
        <v>328.88594625583647</v>
      </c>
      <c r="I202" s="16">
        <f t="shared" ca="1" si="16"/>
        <v>288.62461196211882</v>
      </c>
      <c r="J202" s="16">
        <f t="shared" ca="1" si="16"/>
        <v>385.63718539678962</v>
      </c>
    </row>
    <row r="203" spans="2:10" x14ac:dyDescent="0.3">
      <c r="B203" t="s">
        <v>169</v>
      </c>
      <c r="E203" s="44">
        <v>-75</v>
      </c>
      <c r="F203" s="42">
        <f ca="1">-$E$23*F202</f>
        <v>-50.915238808516428</v>
      </c>
      <c r="G203" s="42">
        <f ca="1">-$E$23*G202</f>
        <v>-63.775092656183219</v>
      </c>
      <c r="H203" s="42">
        <f ca="1">-$E$23*H202</f>
        <v>-82.221486563959118</v>
      </c>
      <c r="I203" s="42">
        <f ca="1">-$E$23*I202</f>
        <v>-72.156152990529705</v>
      </c>
      <c r="J203" s="42">
        <f ca="1">-$E$23*J202</f>
        <v>-96.409296349197405</v>
      </c>
    </row>
    <row r="204" spans="2:10" x14ac:dyDescent="0.3">
      <c r="B204" s="130" t="s">
        <v>170</v>
      </c>
      <c r="C204" s="130"/>
      <c r="D204" s="130"/>
      <c r="E204" s="131">
        <f t="shared" ref="E204:J204" si="17">+SUM(E202:E203)</f>
        <v>225</v>
      </c>
      <c r="F204" s="131">
        <f t="shared" ca="1" si="17"/>
        <v>152.74571642554929</v>
      </c>
      <c r="G204" s="131">
        <f t="shared" ca="1" si="17"/>
        <v>191.32527796854964</v>
      </c>
      <c r="H204" s="131">
        <f t="shared" ca="1" si="17"/>
        <v>246.66445969187737</v>
      </c>
      <c r="I204" s="131">
        <f t="shared" ca="1" si="17"/>
        <v>216.46845897158911</v>
      </c>
      <c r="J204" s="131">
        <f t="shared" ca="1" si="17"/>
        <v>289.22788904759221</v>
      </c>
    </row>
    <row r="205" spans="2:10" x14ac:dyDescent="0.3">
      <c r="B205" t="s">
        <v>171</v>
      </c>
      <c r="F205" s="42">
        <f ca="1">-F193</f>
        <v>33.000000000000007</v>
      </c>
      <c r="G205" s="42">
        <f ca="1">-G193</f>
        <v>36.300000000000011</v>
      </c>
      <c r="H205" s="42">
        <f ca="1">-H193</f>
        <v>39.930000000000014</v>
      </c>
      <c r="I205" s="42">
        <f ca="1">-I193</f>
        <v>43.923000000000023</v>
      </c>
      <c r="J205" s="42">
        <f ca="1">-J193</f>
        <v>48.315300000000029</v>
      </c>
    </row>
    <row r="206" spans="2:10" x14ac:dyDescent="0.3">
      <c r="B206" t="s">
        <v>172</v>
      </c>
      <c r="F206" s="42">
        <f>-F201</f>
        <v>10.35</v>
      </c>
      <c r="G206" s="42">
        <f>-G201</f>
        <v>10.35</v>
      </c>
      <c r="H206" s="42">
        <f>-H201</f>
        <v>10.35</v>
      </c>
      <c r="I206" s="42">
        <f ca="1">-I201</f>
        <v>13.917786243457956</v>
      </c>
      <c r="J206" s="42">
        <f ca="1">-J201</f>
        <v>13.917786243457956</v>
      </c>
    </row>
    <row r="207" spans="2:10" x14ac:dyDescent="0.3">
      <c r="B207" t="s">
        <v>173</v>
      </c>
      <c r="F207" s="42">
        <f t="shared" ref="F207:J208" si="18">-F194</f>
        <v>25.79666666666667</v>
      </c>
      <c r="G207" s="42">
        <f t="shared" si="18"/>
        <v>25.79666666666667</v>
      </c>
      <c r="H207" s="42">
        <f t="shared" si="18"/>
        <v>25.79666666666667</v>
      </c>
      <c r="I207" s="42">
        <f t="shared" si="18"/>
        <v>25.79666666666667</v>
      </c>
      <c r="J207" s="42">
        <f t="shared" si="18"/>
        <v>25.79666666666667</v>
      </c>
    </row>
    <row r="208" spans="2:10" x14ac:dyDescent="0.3">
      <c r="B208" t="s">
        <v>162</v>
      </c>
      <c r="F208" s="42">
        <f t="shared" si="18"/>
        <v>12.5</v>
      </c>
      <c r="G208" s="42">
        <f t="shared" si="18"/>
        <v>12.5</v>
      </c>
      <c r="H208" s="42">
        <f t="shared" si="18"/>
        <v>12.5</v>
      </c>
      <c r="I208" s="42">
        <f t="shared" si="18"/>
        <v>12.5</v>
      </c>
      <c r="J208" s="42">
        <f t="shared" si="18"/>
        <v>12.5</v>
      </c>
    </row>
    <row r="209" spans="2:10" x14ac:dyDescent="0.3">
      <c r="B209" t="s">
        <v>174</v>
      </c>
      <c r="F209" s="42">
        <f>-SUM($J$58,$J$65)</f>
        <v>-9.5741666666666667</v>
      </c>
      <c r="G209" s="42">
        <f>-SUM($J$58,$J$65)</f>
        <v>-9.5741666666666667</v>
      </c>
      <c r="H209" s="42">
        <f>-SUM($J$58,$J$65)</f>
        <v>-9.5741666666666667</v>
      </c>
      <c r="I209" s="42">
        <f>-SUM($J$58,$J$65)</f>
        <v>-9.5741666666666667</v>
      </c>
      <c r="J209" s="42">
        <f>-SUM($J$58,$J$65)</f>
        <v>-9.5741666666666667</v>
      </c>
    </row>
    <row r="210" spans="2:10" x14ac:dyDescent="0.3">
      <c r="B210" t="s">
        <v>175</v>
      </c>
      <c r="F210" s="42">
        <f ca="1">-F262*F174</f>
        <v>-24.750000000000004</v>
      </c>
      <c r="G210" s="42">
        <f ca="1">-G262*G174</f>
        <v>-27.225000000000005</v>
      </c>
      <c r="H210" s="42">
        <f ca="1">-H262*H174</f>
        <v>-29.947500000000009</v>
      </c>
      <c r="I210" s="42">
        <f ca="1">-I262*I174</f>
        <v>-32.942250000000016</v>
      </c>
      <c r="J210" s="42">
        <f ca="1">-J262*J174</f>
        <v>-36.23647500000002</v>
      </c>
    </row>
    <row r="211" spans="2:10" x14ac:dyDescent="0.3">
      <c r="B211" t="s">
        <v>176</v>
      </c>
      <c r="F211" s="42">
        <f ca="1">-F257*F$174</f>
        <v>-24.750000000000004</v>
      </c>
      <c r="G211" s="42">
        <f ca="1">-G257*G$174</f>
        <v>-27.225000000000005</v>
      </c>
      <c r="H211" s="42">
        <f ca="1">-H257*H$174</f>
        <v>-29.947500000000009</v>
      </c>
      <c r="I211" s="42">
        <f ca="1">-I257*I$174</f>
        <v>-32.942250000000016</v>
      </c>
      <c r="J211" s="42">
        <f ca="1">-J257*J$174</f>
        <v>-36.23647500000002</v>
      </c>
    </row>
    <row r="212" spans="2:10" x14ac:dyDescent="0.3">
      <c r="B212" t="s">
        <v>177</v>
      </c>
      <c r="F212" s="42">
        <f ca="1">-IF(AND($J$33=1,$J$35=F172),F168,0)</f>
        <v>-408.796875</v>
      </c>
      <c r="G212" s="42">
        <f>-IF(AND($J$33=1,$J$35=G172),G168,0)</f>
        <v>0</v>
      </c>
      <c r="H212" s="42">
        <f>-IF(AND($J$33=1,$J$35=H172),H168,0)</f>
        <v>0</v>
      </c>
      <c r="I212" s="42">
        <f>-IF(AND($J$33=1,$J$35=I172),I168,0)</f>
        <v>0</v>
      </c>
      <c r="J212" s="42">
        <f>-IF(AND($J$33=1,$J$35=J172),J168,0)</f>
        <v>0</v>
      </c>
    </row>
    <row r="213" spans="2:10" x14ac:dyDescent="0.3">
      <c r="B213" t="s">
        <v>178</v>
      </c>
      <c r="F213" s="42">
        <f>+F324</f>
        <v>-103.5</v>
      </c>
      <c r="G213" s="42">
        <f t="shared" ref="G213:J213" ca="1" si="19">+G324</f>
        <v>-103.5</v>
      </c>
      <c r="H213" s="42">
        <f t="shared" ca="1" si="19"/>
        <v>-103.5</v>
      </c>
      <c r="I213" s="42">
        <f ca="1">+I324</f>
        <v>-103.5</v>
      </c>
      <c r="J213" s="42">
        <f t="shared" ca="1" si="19"/>
        <v>-103.5</v>
      </c>
    </row>
    <row r="214" spans="2:10" x14ac:dyDescent="0.3">
      <c r="B214" t="s">
        <v>179</v>
      </c>
      <c r="F214" s="44">
        <v>0</v>
      </c>
      <c r="G214" s="44">
        <v>0</v>
      </c>
      <c r="H214" s="42">
        <f>H346</f>
        <v>0</v>
      </c>
      <c r="I214" s="42">
        <f t="shared" ref="I214:J214" ca="1" si="20">I346</f>
        <v>1427.1144973831824</v>
      </c>
      <c r="J214" s="42">
        <f t="shared" si="20"/>
        <v>0</v>
      </c>
    </row>
    <row r="215" spans="2:10" x14ac:dyDescent="0.3">
      <c r="B215" s="9" t="s">
        <v>180</v>
      </c>
      <c r="C215" s="9"/>
      <c r="D215" s="9"/>
      <c r="E215" s="9"/>
      <c r="F215" s="49">
        <v>0</v>
      </c>
      <c r="G215" s="49">
        <v>0</v>
      </c>
      <c r="H215" s="59">
        <f>-H214</f>
        <v>0</v>
      </c>
      <c r="I215" s="59">
        <f ca="1">-I214</f>
        <v>-1427.1144973831824</v>
      </c>
      <c r="J215" s="59">
        <f>-J214</f>
        <v>0</v>
      </c>
    </row>
    <row r="216" spans="2:10" x14ac:dyDescent="0.3">
      <c r="B216" s="13" t="s">
        <v>181</v>
      </c>
      <c r="C216" s="13"/>
      <c r="D216" s="13"/>
      <c r="E216" s="13"/>
      <c r="F216" s="16">
        <f ca="1">SUM(F204:F215)</f>
        <v>-336.97865857445072</v>
      </c>
      <c r="G216" s="16">
        <f ca="1">SUM(G204:G215)</f>
        <v>108.74777796854966</v>
      </c>
      <c r="H216" s="16">
        <f ca="1">SUM(H204:H215)</f>
        <v>162.27195969187744</v>
      </c>
      <c r="I216" s="16">
        <f ca="1">SUM(I204:I215)</f>
        <v>133.64724521504718</v>
      </c>
      <c r="J216" s="16">
        <f ca="1">SUM(J204:J215)</f>
        <v>204.21052529105015</v>
      </c>
    </row>
    <row r="217" spans="2:10" x14ac:dyDescent="0.3">
      <c r="B217" s="9" t="s">
        <v>182</v>
      </c>
      <c r="C217" s="9"/>
      <c r="D217" s="9"/>
      <c r="E217" s="9"/>
      <c r="F217" s="59">
        <f ca="1">+F307</f>
        <v>336.97865857445072</v>
      </c>
      <c r="G217" s="59">
        <f ca="1">+G307</f>
        <v>-108.74777796854966</v>
      </c>
      <c r="H217" s="59">
        <f ca="1">+H307</f>
        <v>-162.27195969187744</v>
      </c>
      <c r="I217" s="59">
        <f ca="1">+I307</f>
        <v>-65.958920914023622</v>
      </c>
      <c r="J217" s="59">
        <f ca="1">+J307</f>
        <v>0</v>
      </c>
    </row>
    <row r="218" spans="2:10" x14ac:dyDescent="0.3">
      <c r="B218" s="13" t="s">
        <v>183</v>
      </c>
      <c r="C218" s="13"/>
      <c r="D218" s="13"/>
      <c r="E218" s="13"/>
      <c r="F218" s="16">
        <f ca="1">+SUM(F216:F217)</f>
        <v>0</v>
      </c>
      <c r="G218" s="16">
        <f ca="1">+SUM(G216:G217)</f>
        <v>0</v>
      </c>
      <c r="H218" s="16">
        <f ca="1">+SUM(H216:H217)</f>
        <v>0</v>
      </c>
      <c r="I218" s="16">
        <f ca="1">+SUM(I216:I217)</f>
        <v>67.688324301023556</v>
      </c>
      <c r="J218" s="16">
        <f ca="1">+SUM(J216:J217)</f>
        <v>204.21052529105015</v>
      </c>
    </row>
    <row r="219" spans="2:10" x14ac:dyDescent="0.3">
      <c r="B219" s="9" t="s">
        <v>184</v>
      </c>
      <c r="C219" s="9"/>
      <c r="D219" s="9"/>
      <c r="E219" s="9"/>
      <c r="F219" s="59">
        <f t="shared" ref="F219:G219" ca="1" si="21">+SUM(F325)</f>
        <v>0</v>
      </c>
      <c r="G219" s="59">
        <f t="shared" ca="1" si="21"/>
        <v>0</v>
      </c>
      <c r="H219" s="59">
        <f ca="1">+SUM(H325)</f>
        <v>0</v>
      </c>
      <c r="I219" s="59">
        <f t="shared" ref="I219:J219" ca="1" si="22">+SUM(I325)</f>
        <v>-67.688324301023556</v>
      </c>
      <c r="J219" s="59">
        <f t="shared" ca="1" si="22"/>
        <v>-204.21052529105015</v>
      </c>
    </row>
    <row r="220" spans="2:10" x14ac:dyDescent="0.3">
      <c r="B220" s="13" t="s">
        <v>185</v>
      </c>
      <c r="C220" s="13"/>
      <c r="D220" s="13"/>
      <c r="E220" s="13"/>
      <c r="F220" s="16">
        <f ca="1">SUM(F218:F219)</f>
        <v>0</v>
      </c>
      <c r="G220" s="16">
        <f ca="1">SUM(G218:G219)</f>
        <v>0</v>
      </c>
      <c r="H220" s="16">
        <f ca="1">SUM(H218:H219)</f>
        <v>0</v>
      </c>
      <c r="I220" s="16">
        <f ca="1">SUM(I218:I219)</f>
        <v>0</v>
      </c>
      <c r="J220" s="16">
        <f ca="1">SUM(J218:J219)</f>
        <v>0</v>
      </c>
    </row>
    <row r="221" spans="2:10" x14ac:dyDescent="0.3">
      <c r="B221" s="13"/>
      <c r="C221" s="13"/>
      <c r="D221" s="13"/>
      <c r="E221" s="13"/>
      <c r="F221" s="16"/>
      <c r="G221" s="16"/>
      <c r="H221" s="16"/>
      <c r="I221" s="16"/>
      <c r="J221" s="16"/>
    </row>
    <row r="222" spans="2:10" x14ac:dyDescent="0.3">
      <c r="B222" s="102" t="s">
        <v>186</v>
      </c>
      <c r="C222" s="13"/>
      <c r="D222" s="13"/>
      <c r="E222" s="13"/>
      <c r="F222" s="16"/>
      <c r="G222" s="16"/>
      <c r="H222" s="16"/>
      <c r="I222" s="16"/>
      <c r="J222" s="16"/>
    </row>
    <row r="223" spans="2:10" x14ac:dyDescent="0.3">
      <c r="B223" t="s">
        <v>187</v>
      </c>
      <c r="F223" s="58">
        <f>+E20</f>
        <v>25</v>
      </c>
      <c r="G223" s="58">
        <f ca="1">+F225</f>
        <v>25</v>
      </c>
      <c r="H223" s="58">
        <f ca="1">+G225</f>
        <v>25</v>
      </c>
      <c r="I223" s="58">
        <f ca="1">+H225</f>
        <v>25</v>
      </c>
      <c r="J223" s="58">
        <f ca="1">+I225</f>
        <v>25</v>
      </c>
    </row>
    <row r="224" spans="2:10" x14ac:dyDescent="0.3">
      <c r="B224" t="s">
        <v>188</v>
      </c>
      <c r="F224" s="42">
        <f ca="1">+F220</f>
        <v>0</v>
      </c>
      <c r="G224" s="42">
        <f ca="1">+G220</f>
        <v>0</v>
      </c>
      <c r="H224" s="42">
        <f ca="1">+H220</f>
        <v>0</v>
      </c>
      <c r="I224" s="42">
        <f ca="1">+I220</f>
        <v>0</v>
      </c>
      <c r="J224" s="42">
        <f ca="1">+J220</f>
        <v>0</v>
      </c>
    </row>
    <row r="225" spans="2:10" x14ac:dyDescent="0.3">
      <c r="B225" s="130" t="s">
        <v>189</v>
      </c>
      <c r="C225" s="130"/>
      <c r="D225" s="130"/>
      <c r="E225" s="130"/>
      <c r="F225" s="131">
        <f ca="1">SUM(F223:F224)</f>
        <v>25</v>
      </c>
      <c r="G225" s="131">
        <f ca="1">SUM(G223:G224)</f>
        <v>25</v>
      </c>
      <c r="H225" s="131">
        <f ca="1">SUM(H223:H224)</f>
        <v>25</v>
      </c>
      <c r="I225" s="131">
        <f ca="1">SUM(I223:I224)</f>
        <v>25</v>
      </c>
      <c r="J225" s="131">
        <f ca="1">SUM(J223:J224)</f>
        <v>25</v>
      </c>
    </row>
    <row r="226" spans="2:10" x14ac:dyDescent="0.3">
      <c r="B226" s="13"/>
      <c r="C226" s="13"/>
      <c r="D226" s="13"/>
      <c r="E226" s="16"/>
      <c r="F226" s="16"/>
      <c r="G226" s="16"/>
      <c r="H226" s="16"/>
      <c r="I226" s="16"/>
      <c r="J226" s="16"/>
    </row>
    <row r="227" spans="2:10" x14ac:dyDescent="0.3">
      <c r="B227" s="98" t="s">
        <v>190</v>
      </c>
      <c r="C227" s="98"/>
      <c r="D227" s="98"/>
      <c r="E227" s="98"/>
      <c r="F227" s="98"/>
      <c r="G227" s="98"/>
      <c r="H227" s="135"/>
      <c r="I227" s="135"/>
      <c r="J227" s="135"/>
    </row>
    <row r="229" spans="2:10" x14ac:dyDescent="0.3">
      <c r="B229" t="s">
        <v>124</v>
      </c>
      <c r="D229" s="96">
        <v>1</v>
      </c>
      <c r="G229" s="136"/>
      <c r="H229" s="137"/>
      <c r="I229" s="137"/>
      <c r="J229" s="137"/>
    </row>
    <row r="230" spans="2:10" x14ac:dyDescent="0.3">
      <c r="B230" t="s">
        <v>125</v>
      </c>
      <c r="D230" s="97" t="str">
        <f>+IF(D229=1,"Base",IF(D229=2,"Upside",IF(D229=3,"Downside","None")))</f>
        <v>Base</v>
      </c>
      <c r="G230" s="136"/>
      <c r="H230" s="137"/>
      <c r="I230" s="137"/>
      <c r="J230" s="137"/>
    </row>
    <row r="231" spans="2:10" x14ac:dyDescent="0.3">
      <c r="G231" s="136"/>
      <c r="H231" s="137"/>
      <c r="I231" s="137"/>
      <c r="J231" s="137"/>
    </row>
    <row r="232" spans="2:10" ht="12.9" x14ac:dyDescent="0.35">
      <c r="B232" s="110" t="s">
        <v>191</v>
      </c>
      <c r="C232" s="111"/>
      <c r="D232" s="111"/>
      <c r="E232" s="112" t="s">
        <v>297</v>
      </c>
      <c r="F232" s="112">
        <f ca="1">+OFFSET(F232,$D$229,0)</f>
        <v>0.1</v>
      </c>
      <c r="G232" s="112">
        <f ca="1">+OFFSET(G232,$D$229,0)</f>
        <v>0.1</v>
      </c>
      <c r="H232" s="112">
        <f ca="1">+OFFSET(H232,$D$229,0)</f>
        <v>0.1</v>
      </c>
      <c r="I232" s="112">
        <f ca="1">+OFFSET(I232,$D$229,0)</f>
        <v>0.1</v>
      </c>
      <c r="J232" s="122">
        <f ca="1">+OFFSET(J232,$D$229,0)</f>
        <v>0.1</v>
      </c>
    </row>
    <row r="233" spans="2:10" ht="12.9" x14ac:dyDescent="0.35">
      <c r="B233" s="115" t="s">
        <v>134</v>
      </c>
      <c r="C233" s="115"/>
      <c r="E233" s="138"/>
      <c r="F233" s="123">
        <v>0.1</v>
      </c>
      <c r="G233" s="123">
        <v>0.1</v>
      </c>
      <c r="H233" s="123">
        <v>0.1</v>
      </c>
      <c r="I233" s="123">
        <v>0.1</v>
      </c>
      <c r="J233" s="123">
        <v>0.1</v>
      </c>
    </row>
    <row r="234" spans="2:10" ht="12.9" x14ac:dyDescent="0.35">
      <c r="B234" s="115" t="s">
        <v>135</v>
      </c>
      <c r="C234" s="115"/>
      <c r="E234" s="138"/>
      <c r="F234" s="123">
        <v>0.15</v>
      </c>
      <c r="G234" s="123">
        <v>0.15</v>
      </c>
      <c r="H234" s="123">
        <v>0.15</v>
      </c>
      <c r="I234" s="123">
        <v>0.15</v>
      </c>
      <c r="J234" s="123">
        <v>0.15</v>
      </c>
    </row>
    <row r="235" spans="2:10" ht="12.9" x14ac:dyDescent="0.35">
      <c r="B235" s="115" t="s">
        <v>136</v>
      </c>
      <c r="C235" s="115"/>
      <c r="E235" s="138"/>
      <c r="F235" s="123">
        <v>2.5000000000000001E-2</v>
      </c>
      <c r="G235" s="123">
        <v>2.5000000000000001E-2</v>
      </c>
      <c r="H235" s="123">
        <v>2.5000000000000001E-2</v>
      </c>
      <c r="I235" s="123">
        <v>2.5000000000000001E-2</v>
      </c>
      <c r="J235" s="123">
        <v>2.5000000000000001E-2</v>
      </c>
    </row>
    <row r="236" spans="2:10" ht="12.9" x14ac:dyDescent="0.35">
      <c r="E236" s="138"/>
      <c r="F236" s="123"/>
      <c r="G236" s="123"/>
      <c r="H236" s="123"/>
      <c r="I236" s="123"/>
      <c r="J236" s="123"/>
    </row>
    <row r="237" spans="2:10" ht="12.9" x14ac:dyDescent="0.35">
      <c r="B237" s="110" t="s">
        <v>119</v>
      </c>
      <c r="C237" s="111"/>
      <c r="D237" s="111"/>
      <c r="E237" s="121">
        <f>+E181/E174</f>
        <v>0.35</v>
      </c>
      <c r="F237" s="112">
        <f ca="1">+OFFSET(F237,$D$229,0)</f>
        <v>0.35</v>
      </c>
      <c r="G237" s="112">
        <f ca="1">+OFFSET(G237,$D$229,0)</f>
        <v>0.35</v>
      </c>
      <c r="H237" s="112">
        <f ca="1">+OFFSET(H237,$D$229,0)</f>
        <v>0.35</v>
      </c>
      <c r="I237" s="112">
        <f ca="1">+OFFSET(I237,$D$229,0)</f>
        <v>0.35</v>
      </c>
      <c r="J237" s="122">
        <f ca="1">+OFFSET(J237,$D$229,0)</f>
        <v>0.35</v>
      </c>
    </row>
    <row r="238" spans="2:10" ht="12.9" x14ac:dyDescent="0.35">
      <c r="B238" s="115" t="s">
        <v>134</v>
      </c>
      <c r="C238" s="115"/>
      <c r="E238" s="138"/>
      <c r="F238" s="123">
        <v>0.35</v>
      </c>
      <c r="G238" s="123">
        <v>0.35</v>
      </c>
      <c r="H238" s="123">
        <v>0.35</v>
      </c>
      <c r="I238" s="123">
        <v>0.35</v>
      </c>
      <c r="J238" s="123">
        <v>0.35</v>
      </c>
    </row>
    <row r="239" spans="2:10" ht="12.9" x14ac:dyDescent="0.35">
      <c r="B239" s="115" t="s">
        <v>135</v>
      </c>
      <c r="C239" s="115"/>
      <c r="E239" s="138"/>
      <c r="F239" s="123">
        <v>0.4</v>
      </c>
      <c r="G239" s="123">
        <v>0.4</v>
      </c>
      <c r="H239" s="123">
        <v>0.4</v>
      </c>
      <c r="I239" s="123">
        <v>0.4</v>
      </c>
      <c r="J239" s="123">
        <v>0.4</v>
      </c>
    </row>
    <row r="240" spans="2:10" ht="12.9" x14ac:dyDescent="0.35">
      <c r="B240" s="115" t="s">
        <v>136</v>
      </c>
      <c r="C240" s="115"/>
      <c r="E240" s="138"/>
      <c r="F240" s="123">
        <v>0.3</v>
      </c>
      <c r="G240" s="123">
        <v>0.3</v>
      </c>
      <c r="H240" s="123">
        <v>0.3</v>
      </c>
      <c r="I240" s="123">
        <v>0.3</v>
      </c>
      <c r="J240" s="123">
        <v>0.3</v>
      </c>
    </row>
    <row r="241" spans="2:10" ht="12.9" x14ac:dyDescent="0.35">
      <c r="E241" s="138"/>
      <c r="F241" s="123"/>
      <c r="G241" s="123"/>
      <c r="H241" s="123"/>
      <c r="I241" s="123"/>
      <c r="J241" s="123"/>
    </row>
    <row r="242" spans="2:10" ht="12.9" x14ac:dyDescent="0.35">
      <c r="B242" s="110" t="s">
        <v>138</v>
      </c>
      <c r="C242" s="111"/>
      <c r="D242" s="111"/>
      <c r="E242" s="121">
        <f>-E184/E174</f>
        <v>0.1</v>
      </c>
      <c r="F242" s="112">
        <f ca="1">+OFFSET(F242,$D$229,0)</f>
        <v>0.1</v>
      </c>
      <c r="G242" s="112">
        <f ca="1">+OFFSET(G242,$D$229,0)</f>
        <v>0.1</v>
      </c>
      <c r="H242" s="112">
        <f ca="1">+OFFSET(H242,$D$229,0)</f>
        <v>0.1</v>
      </c>
      <c r="I242" s="112">
        <f ca="1">+OFFSET(I242,$D$229,0)</f>
        <v>0.1</v>
      </c>
      <c r="J242" s="122">
        <f ca="1">+OFFSET(J242,$D$229,0)</f>
        <v>0.1</v>
      </c>
    </row>
    <row r="243" spans="2:10" ht="12.9" x14ac:dyDescent="0.35">
      <c r="B243" s="115" t="s">
        <v>134</v>
      </c>
      <c r="C243" s="115"/>
      <c r="E243" s="138"/>
      <c r="F243" s="123">
        <v>0.1</v>
      </c>
      <c r="G243" s="123">
        <v>0.1</v>
      </c>
      <c r="H243" s="123">
        <v>0.1</v>
      </c>
      <c r="I243" s="123">
        <v>0.1</v>
      </c>
      <c r="J243" s="123">
        <v>0.1</v>
      </c>
    </row>
    <row r="244" spans="2:10" ht="12.9" x14ac:dyDescent="0.35">
      <c r="B244" s="115" t="s">
        <v>135</v>
      </c>
      <c r="C244" s="115"/>
      <c r="E244" s="138"/>
      <c r="F244" s="123">
        <v>7.4999999999999997E-2</v>
      </c>
      <c r="G244" s="123">
        <v>7.4999999999999997E-2</v>
      </c>
      <c r="H244" s="123">
        <v>7.4999999999999997E-2</v>
      </c>
      <c r="I244" s="123">
        <v>7.4999999999999997E-2</v>
      </c>
      <c r="J244" s="123">
        <v>7.4999999999999997E-2</v>
      </c>
    </row>
    <row r="245" spans="2:10" ht="12.9" x14ac:dyDescent="0.35">
      <c r="B245" s="115" t="s">
        <v>136</v>
      </c>
      <c r="C245" s="115"/>
      <c r="E245" s="138"/>
      <c r="F245" s="123">
        <v>0.125</v>
      </c>
      <c r="G245" s="123">
        <v>0.125</v>
      </c>
      <c r="H245" s="123">
        <v>0.125</v>
      </c>
      <c r="I245" s="123">
        <v>0.125</v>
      </c>
      <c r="J245" s="123">
        <v>0.125</v>
      </c>
    </row>
    <row r="246" spans="2:10" ht="12.9" x14ac:dyDescent="0.35">
      <c r="B246" s="115"/>
      <c r="C246" s="115"/>
      <c r="E246" s="138"/>
      <c r="F246" s="123"/>
      <c r="G246" s="123"/>
      <c r="H246" s="123"/>
      <c r="I246" s="123"/>
      <c r="J246" s="123"/>
    </row>
    <row r="247" spans="2:10" ht="12.9" x14ac:dyDescent="0.35">
      <c r="B247" s="110" t="s">
        <v>139</v>
      </c>
      <c r="C247" s="111"/>
      <c r="D247" s="111"/>
      <c r="E247" s="121">
        <f>-E186/E174</f>
        <v>0.02</v>
      </c>
      <c r="F247" s="112">
        <f ca="1">+OFFSET(F247,$D$229,0)</f>
        <v>0.02</v>
      </c>
      <c r="G247" s="112">
        <f ca="1">+OFFSET(G247,$D$229,0)</f>
        <v>0.02</v>
      </c>
      <c r="H247" s="112">
        <f ca="1">+OFFSET(H247,$D$229,0)</f>
        <v>0.02</v>
      </c>
      <c r="I247" s="112">
        <f ca="1">+OFFSET(I247,$D$229,0)</f>
        <v>0.02</v>
      </c>
      <c r="J247" s="122">
        <f ca="1">+OFFSET(J247,$D$229,0)</f>
        <v>0.02</v>
      </c>
    </row>
    <row r="248" spans="2:10" ht="12.9" x14ac:dyDescent="0.35">
      <c r="B248" s="115" t="s">
        <v>134</v>
      </c>
      <c r="C248" s="115"/>
      <c r="E248" s="138"/>
      <c r="F248" s="123">
        <v>0.02</v>
      </c>
      <c r="G248" s="123">
        <v>0.02</v>
      </c>
      <c r="H248" s="123">
        <v>0.02</v>
      </c>
      <c r="I248" s="123">
        <v>0.02</v>
      </c>
      <c r="J248" s="123">
        <v>0.02</v>
      </c>
    </row>
    <row r="249" spans="2:10" ht="12.9" x14ac:dyDescent="0.35">
      <c r="B249" s="115" t="s">
        <v>135</v>
      </c>
      <c r="C249" s="115"/>
      <c r="E249" s="138"/>
      <c r="F249" s="123">
        <v>1.4999999999999999E-2</v>
      </c>
      <c r="G249" s="123">
        <v>1.4999999999999999E-2</v>
      </c>
      <c r="H249" s="123">
        <v>1.4999999999999999E-2</v>
      </c>
      <c r="I249" s="123">
        <v>1.4999999999999999E-2</v>
      </c>
      <c r="J249" s="123">
        <v>1.4999999999999999E-2</v>
      </c>
    </row>
    <row r="250" spans="2:10" ht="12.9" x14ac:dyDescent="0.35">
      <c r="B250" s="115" t="s">
        <v>136</v>
      </c>
      <c r="C250" s="115"/>
      <c r="E250" s="138"/>
      <c r="F250" s="123">
        <v>2.5000000000000001E-2</v>
      </c>
      <c r="G250" s="123">
        <v>2.5000000000000001E-2</v>
      </c>
      <c r="H250" s="123">
        <v>2.5000000000000001E-2</v>
      </c>
      <c r="I250" s="123">
        <v>2.5000000000000001E-2</v>
      </c>
      <c r="J250" s="123">
        <v>2.5000000000000001E-2</v>
      </c>
    </row>
    <row r="251" spans="2:10" ht="12.9" x14ac:dyDescent="0.35">
      <c r="B251" s="115"/>
      <c r="C251" s="115"/>
      <c r="E251" s="138"/>
      <c r="F251" s="123"/>
      <c r="G251" s="123"/>
      <c r="H251" s="123"/>
      <c r="I251" s="123"/>
      <c r="J251" s="123"/>
    </row>
    <row r="252" spans="2:10" ht="12.9" x14ac:dyDescent="0.35">
      <c r="B252" s="110" t="s">
        <v>192</v>
      </c>
      <c r="C252" s="111"/>
      <c r="D252" s="111"/>
      <c r="E252" s="121">
        <f>-E193/E174</f>
        <v>0.02</v>
      </c>
      <c r="F252" s="112">
        <f ca="1">+OFFSET(F252,$D$229,0)</f>
        <v>0.02</v>
      </c>
      <c r="G252" s="112">
        <f ca="1">+OFFSET(G252,$D$229,0)</f>
        <v>0.02</v>
      </c>
      <c r="H252" s="112">
        <f ca="1">+OFFSET(H252,$D$229,0)</f>
        <v>0.02</v>
      </c>
      <c r="I252" s="112">
        <f ca="1">+OFFSET(I252,$D$229,0)</f>
        <v>0.02</v>
      </c>
      <c r="J252" s="122">
        <f ca="1">+OFFSET(J252,$D$229,0)</f>
        <v>0.02</v>
      </c>
    </row>
    <row r="253" spans="2:10" ht="12.9" x14ac:dyDescent="0.35">
      <c r="B253" s="115" t="s">
        <v>134</v>
      </c>
      <c r="C253" s="115"/>
      <c r="E253" s="138"/>
      <c r="F253" s="123">
        <v>0.02</v>
      </c>
      <c r="G253" s="123">
        <v>0.02</v>
      </c>
      <c r="H253" s="123">
        <v>0.02</v>
      </c>
      <c r="I253" s="123">
        <v>0.02</v>
      </c>
      <c r="J253" s="123">
        <v>0.02</v>
      </c>
    </row>
    <row r="254" spans="2:10" ht="12.9" x14ac:dyDescent="0.35">
      <c r="B254" s="115" t="s">
        <v>135</v>
      </c>
      <c r="C254" s="115"/>
      <c r="E254" s="138"/>
      <c r="F254" s="123">
        <v>2.5000000000000001E-2</v>
      </c>
      <c r="G254" s="123">
        <v>2.5000000000000001E-2</v>
      </c>
      <c r="H254" s="123">
        <v>2.5000000000000001E-2</v>
      </c>
      <c r="I254" s="123">
        <v>2.5000000000000001E-2</v>
      </c>
      <c r="J254" s="123">
        <v>2.5000000000000001E-2</v>
      </c>
    </row>
    <row r="255" spans="2:10" ht="12.9" x14ac:dyDescent="0.35">
      <c r="B255" s="115" t="s">
        <v>136</v>
      </c>
      <c r="C255" s="115"/>
      <c r="E255" s="138"/>
      <c r="F255" s="123">
        <v>1.4999999999999999E-2</v>
      </c>
      <c r="G255" s="123">
        <v>1.4999999999999999E-2</v>
      </c>
      <c r="H255" s="123">
        <v>1.4999999999999999E-2</v>
      </c>
      <c r="I255" s="123">
        <v>1.4999999999999999E-2</v>
      </c>
      <c r="J255" s="123">
        <v>1.4999999999999999E-2</v>
      </c>
    </row>
    <row r="256" spans="2:10" ht="12.9" x14ac:dyDescent="0.35">
      <c r="B256" s="115"/>
      <c r="C256" s="115"/>
      <c r="E256" s="138"/>
      <c r="F256" s="123"/>
      <c r="G256" s="123"/>
      <c r="H256" s="123"/>
      <c r="I256" s="123"/>
      <c r="J256" s="123"/>
    </row>
    <row r="257" spans="2:10" ht="12.9" x14ac:dyDescent="0.35">
      <c r="B257" s="110" t="s">
        <v>193</v>
      </c>
      <c r="C257" s="111"/>
      <c r="D257" s="111"/>
      <c r="E257" s="139" t="s">
        <v>297</v>
      </c>
      <c r="F257" s="112">
        <f ca="1">+OFFSET(F257,$D$229,0)</f>
        <v>1.4999999999999999E-2</v>
      </c>
      <c r="G257" s="112">
        <f ca="1">+OFFSET(G257,$D$229,0)</f>
        <v>1.4999999999999999E-2</v>
      </c>
      <c r="H257" s="112">
        <f ca="1">+OFFSET(H257,$D$229,0)</f>
        <v>1.4999999999999999E-2</v>
      </c>
      <c r="I257" s="112">
        <f ca="1">+OFFSET(I257,$D$229,0)</f>
        <v>1.4999999999999999E-2</v>
      </c>
      <c r="J257" s="122">
        <f ca="1">+OFFSET(J257,$D$229,0)</f>
        <v>1.4999999999999999E-2</v>
      </c>
    </row>
    <row r="258" spans="2:10" ht="12.9" x14ac:dyDescent="0.35">
      <c r="B258" s="115" t="s">
        <v>134</v>
      </c>
      <c r="C258" s="115"/>
      <c r="E258" s="2"/>
      <c r="F258" s="123">
        <v>1.4999999999999999E-2</v>
      </c>
      <c r="G258" s="123">
        <v>1.4999999999999999E-2</v>
      </c>
      <c r="H258" s="123">
        <v>1.4999999999999999E-2</v>
      </c>
      <c r="I258" s="123">
        <v>1.4999999999999999E-2</v>
      </c>
      <c r="J258" s="123">
        <v>1.4999999999999999E-2</v>
      </c>
    </row>
    <row r="259" spans="2:10" ht="12.9" x14ac:dyDescent="0.35">
      <c r="B259" s="115" t="s">
        <v>135</v>
      </c>
      <c r="C259" s="115"/>
      <c r="E259" s="2"/>
      <c r="F259" s="123">
        <v>0.01</v>
      </c>
      <c r="G259" s="123">
        <v>0.01</v>
      </c>
      <c r="H259" s="123">
        <v>0.01</v>
      </c>
      <c r="I259" s="123">
        <v>0.01</v>
      </c>
      <c r="J259" s="123">
        <v>0.01</v>
      </c>
    </row>
    <row r="260" spans="2:10" ht="12.9" x14ac:dyDescent="0.35">
      <c r="B260" s="115" t="s">
        <v>136</v>
      </c>
      <c r="C260" s="115"/>
      <c r="E260" s="2"/>
      <c r="F260" s="123">
        <v>0.02</v>
      </c>
      <c r="G260" s="123">
        <v>0.02</v>
      </c>
      <c r="H260" s="123">
        <v>0.02</v>
      </c>
      <c r="I260" s="123">
        <v>0.02</v>
      </c>
      <c r="J260" s="123">
        <v>0.02</v>
      </c>
    </row>
    <row r="261" spans="2:10" ht="12.9" x14ac:dyDescent="0.35">
      <c r="B261" s="115"/>
      <c r="C261" s="115"/>
      <c r="E261" s="2"/>
      <c r="F261" s="123"/>
      <c r="G261" s="123"/>
      <c r="H261" s="123"/>
      <c r="I261" s="123"/>
      <c r="J261" s="123"/>
    </row>
    <row r="262" spans="2:10" ht="12.9" x14ac:dyDescent="0.35">
      <c r="B262" s="110" t="s">
        <v>194</v>
      </c>
      <c r="C262" s="111"/>
      <c r="D262" s="111"/>
      <c r="E262" s="139" t="s">
        <v>297</v>
      </c>
      <c r="F262" s="112">
        <f ca="1">+OFFSET(F262,$D$229,0)</f>
        <v>1.4999999999999999E-2</v>
      </c>
      <c r="G262" s="112">
        <f ca="1">+OFFSET(G262,$D$229,0)</f>
        <v>1.4999999999999999E-2</v>
      </c>
      <c r="H262" s="112">
        <f ca="1">+OFFSET(H262,$D$229,0)</f>
        <v>1.4999999999999999E-2</v>
      </c>
      <c r="I262" s="112">
        <f ca="1">+OFFSET(I262,$D$229,0)</f>
        <v>1.4999999999999999E-2</v>
      </c>
      <c r="J262" s="122">
        <f ca="1">+OFFSET(J262,$D$229,0)</f>
        <v>1.4999999999999999E-2</v>
      </c>
    </row>
    <row r="263" spans="2:10" ht="12.9" x14ac:dyDescent="0.35">
      <c r="B263" s="115" t="s">
        <v>134</v>
      </c>
      <c r="C263" s="115"/>
      <c r="E263" s="2"/>
      <c r="F263" s="123">
        <v>1.4999999999999999E-2</v>
      </c>
      <c r="G263" s="123">
        <v>1.4999999999999999E-2</v>
      </c>
      <c r="H263" s="123">
        <v>1.4999999999999999E-2</v>
      </c>
      <c r="I263" s="123">
        <v>1.4999999999999999E-2</v>
      </c>
      <c r="J263" s="123">
        <v>1.4999999999999999E-2</v>
      </c>
    </row>
    <row r="264" spans="2:10" ht="12.9" x14ac:dyDescent="0.35">
      <c r="B264" s="115" t="s">
        <v>135</v>
      </c>
      <c r="C264" s="115"/>
      <c r="E264" s="2"/>
      <c r="F264" s="123">
        <v>0.01</v>
      </c>
      <c r="G264" s="123">
        <v>0.01</v>
      </c>
      <c r="H264" s="123">
        <v>0.01</v>
      </c>
      <c r="I264" s="123">
        <v>0.01</v>
      </c>
      <c r="J264" s="123">
        <v>0.01</v>
      </c>
    </row>
    <row r="265" spans="2:10" ht="12.9" x14ac:dyDescent="0.35">
      <c r="B265" s="115" t="s">
        <v>136</v>
      </c>
      <c r="C265" s="115"/>
      <c r="E265" s="2"/>
      <c r="F265" s="123">
        <v>0.02</v>
      </c>
      <c r="G265" s="123">
        <v>0.02</v>
      </c>
      <c r="H265" s="123">
        <v>0.02</v>
      </c>
      <c r="I265" s="123">
        <v>0.02</v>
      </c>
      <c r="J265" s="123">
        <v>0.02</v>
      </c>
    </row>
    <row r="266" spans="2:10" ht="12.9" x14ac:dyDescent="0.35">
      <c r="B266" s="115"/>
      <c r="C266" s="115"/>
      <c r="E266" s="2"/>
      <c r="F266" s="123"/>
      <c r="G266" s="123"/>
      <c r="H266" s="123"/>
      <c r="I266" s="123"/>
      <c r="J266" s="123"/>
    </row>
    <row r="267" spans="2:10" ht="12.9" x14ac:dyDescent="0.35">
      <c r="B267" s="3" t="s">
        <v>195</v>
      </c>
      <c r="C267" s="4"/>
      <c r="D267" s="4"/>
      <c r="E267" s="128"/>
      <c r="F267" s="128"/>
      <c r="G267" s="128"/>
      <c r="H267" s="128"/>
      <c r="I267" s="128"/>
      <c r="J267" s="128"/>
    </row>
    <row r="268" spans="2:10" ht="12.9" x14ac:dyDescent="0.35">
      <c r="C268" s="115"/>
      <c r="E268" s="138"/>
      <c r="F268" s="138"/>
      <c r="G268" s="138"/>
      <c r="H268" s="138"/>
      <c r="I268" s="138"/>
      <c r="J268" s="138"/>
    </row>
    <row r="269" spans="2:10" x14ac:dyDescent="0.3">
      <c r="B269" s="5" t="s">
        <v>196</v>
      </c>
      <c r="C269" s="140"/>
      <c r="D269" s="5"/>
      <c r="E269" s="141"/>
      <c r="F269" s="90">
        <v>2021</v>
      </c>
      <c r="G269" s="90">
        <f>+F269+1</f>
        <v>2022</v>
      </c>
      <c r="H269" s="90">
        <f>+G269+1</f>
        <v>2023</v>
      </c>
      <c r="I269" s="90">
        <f>+H269+1</f>
        <v>2024</v>
      </c>
      <c r="J269" s="90">
        <f>+I269+1</f>
        <v>2025</v>
      </c>
    </row>
    <row r="270" spans="2:10" ht="12.9" x14ac:dyDescent="0.35">
      <c r="C270" s="115"/>
      <c r="E270" s="138"/>
      <c r="G270" s="142"/>
      <c r="H270" s="142"/>
      <c r="I270" s="142"/>
      <c r="J270" s="142"/>
    </row>
    <row r="271" spans="2:10" x14ac:dyDescent="0.3">
      <c r="B271" s="17" t="s">
        <v>197</v>
      </c>
      <c r="C271" s="17"/>
      <c r="D271" s="18" t="s">
        <v>58</v>
      </c>
      <c r="F271" s="143" t="s">
        <v>198</v>
      </c>
      <c r="G271" s="144"/>
      <c r="H271" s="144"/>
      <c r="I271" s="144"/>
      <c r="J271" s="144"/>
    </row>
    <row r="272" spans="2:10" x14ac:dyDescent="0.3">
      <c r="B272" s="145" t="s">
        <v>199</v>
      </c>
      <c r="C272" s="13"/>
      <c r="D272" s="146">
        <v>2</v>
      </c>
      <c r="E272" s="147" t="s">
        <v>200</v>
      </c>
      <c r="F272" s="148">
        <v>350</v>
      </c>
      <c r="G272" s="379">
        <f>+F272*(1+15%)</f>
        <v>402.49999999999994</v>
      </c>
      <c r="H272" s="379">
        <f t="shared" ref="H272:J272" si="23">+G272*(1+15%)</f>
        <v>462.87499999999989</v>
      </c>
      <c r="I272" s="379">
        <f t="shared" si="23"/>
        <v>532.30624999999986</v>
      </c>
      <c r="J272" s="379">
        <f t="shared" si="23"/>
        <v>612.15218749999974</v>
      </c>
    </row>
    <row r="273" spans="2:10" x14ac:dyDescent="0.3">
      <c r="B273" s="145" t="s">
        <v>201</v>
      </c>
      <c r="C273" s="13"/>
      <c r="D273" s="146">
        <v>3</v>
      </c>
      <c r="E273" s="147" t="s">
        <v>202</v>
      </c>
      <c r="F273" s="379">
        <f>+F272*(1+10%)</f>
        <v>385.00000000000006</v>
      </c>
      <c r="G273" s="379">
        <f t="shared" ref="G273:J274" si="24">+F273*(1+15%)</f>
        <v>442.75000000000006</v>
      </c>
      <c r="H273" s="379">
        <f t="shared" si="24"/>
        <v>509.16250000000002</v>
      </c>
      <c r="I273" s="379">
        <f t="shared" si="24"/>
        <v>585.53687500000001</v>
      </c>
      <c r="J273" s="379">
        <f t="shared" si="24"/>
        <v>673.36740624999993</v>
      </c>
    </row>
    <row r="274" spans="2:10" x14ac:dyDescent="0.3">
      <c r="B274" s="149" t="s">
        <v>203</v>
      </c>
      <c r="C274" s="17"/>
      <c r="D274" s="150">
        <v>5</v>
      </c>
      <c r="E274" s="147" t="s">
        <v>204</v>
      </c>
      <c r="F274" s="379">
        <f>+F273*(1+10%)</f>
        <v>423.50000000000011</v>
      </c>
      <c r="G274" s="379">
        <f t="shared" si="24"/>
        <v>487.02500000000009</v>
      </c>
      <c r="H274" s="379">
        <f t="shared" si="24"/>
        <v>560.07875000000001</v>
      </c>
      <c r="I274" s="379">
        <f t="shared" si="24"/>
        <v>644.09056249999992</v>
      </c>
      <c r="J274" s="379">
        <f t="shared" si="24"/>
        <v>740.70414687499988</v>
      </c>
    </row>
    <row r="275" spans="2:10" x14ac:dyDescent="0.3">
      <c r="B275" s="151" t="s">
        <v>205</v>
      </c>
      <c r="C275" s="13"/>
      <c r="D275" s="380">
        <v>10</v>
      </c>
      <c r="F275" s="152"/>
      <c r="G275" s="152"/>
      <c r="H275" s="152"/>
      <c r="I275" s="152"/>
    </row>
    <row r="276" spans="2:10" x14ac:dyDescent="0.3">
      <c r="D276" s="145"/>
      <c r="F276" s="152"/>
      <c r="G276" s="152"/>
      <c r="H276" s="152"/>
      <c r="I276" s="152"/>
    </row>
    <row r="277" spans="2:10" x14ac:dyDescent="0.3">
      <c r="B277" t="s">
        <v>206</v>
      </c>
      <c r="F277" s="43">
        <f ca="1">+F188</f>
        <v>422.53125000000006</v>
      </c>
      <c r="G277" s="43">
        <f ca="1">+G188</f>
        <v>482.69999999999982</v>
      </c>
      <c r="H277" s="43">
        <f ca="1">+H188</f>
        <v>551.22625000000039</v>
      </c>
      <c r="I277" s="43">
        <f ca="1">+I188</f>
        <v>628.86450000000002</v>
      </c>
      <c r="J277" s="43">
        <f ca="1">+J188</f>
        <v>716.40720000000033</v>
      </c>
    </row>
    <row r="278" spans="2:10" ht="12.9" x14ac:dyDescent="0.35">
      <c r="B278" s="11" t="s">
        <v>116</v>
      </c>
      <c r="C278" s="2"/>
      <c r="D278" s="2"/>
      <c r="E278" s="2"/>
      <c r="F278" s="106" t="str">
        <f ca="1">+IFERROR(F277/E277-1,"N/A")</f>
        <v>N/A</v>
      </c>
      <c r="G278" s="106">
        <f t="shared" ref="G278:J278" ca="1" si="25">+IFERROR(G277/F277-1,"N/A")</f>
        <v>0.14240071000665577</v>
      </c>
      <c r="H278" s="106">
        <f t="shared" ca="1" si="25"/>
        <v>0.14196447068572726</v>
      </c>
      <c r="I278" s="106">
        <f t="shared" ca="1" si="25"/>
        <v>0.14084643102537231</v>
      </c>
      <c r="J278" s="106">
        <f t="shared" ca="1" si="25"/>
        <v>0.13920757174240284</v>
      </c>
    </row>
    <row r="279" spans="2:10" x14ac:dyDescent="0.3">
      <c r="C279" s="153"/>
    </row>
    <row r="280" spans="2:10" x14ac:dyDescent="0.3">
      <c r="B280" s="102" t="s">
        <v>207</v>
      </c>
      <c r="C280" s="153"/>
      <c r="F280" s="147"/>
    </row>
    <row r="281" spans="2:10" x14ac:dyDescent="0.3">
      <c r="B281" s="145" t="str">
        <f>+B272</f>
        <v>Minimum EBITDA</v>
      </c>
      <c r="C281" s="153"/>
      <c r="F281" s="105">
        <f ca="1">+IF(F$277&gt;=F272,$D272,0)</f>
        <v>2</v>
      </c>
      <c r="G281" s="105">
        <f t="shared" ref="G281:J282" ca="1" si="26">+IF(G$277&gt;=G272,$D272,0)</f>
        <v>2</v>
      </c>
      <c r="H281" s="105">
        <f t="shared" ca="1" si="26"/>
        <v>2</v>
      </c>
      <c r="I281" s="105">
        <f t="shared" ca="1" si="26"/>
        <v>2</v>
      </c>
      <c r="J281" s="105">
        <f t="shared" ca="1" si="26"/>
        <v>2</v>
      </c>
    </row>
    <row r="282" spans="2:10" x14ac:dyDescent="0.3">
      <c r="B282" s="145" t="str">
        <f>+B273</f>
        <v>Midpoint EBITDA</v>
      </c>
      <c r="C282" s="153"/>
      <c r="F282" s="108">
        <f ca="1">+IF(F$277&gt;=F273,$D273,0)</f>
        <v>3</v>
      </c>
      <c r="G282" s="108">
        <f t="shared" ca="1" si="26"/>
        <v>3</v>
      </c>
      <c r="H282" s="108">
        <f t="shared" ca="1" si="26"/>
        <v>3</v>
      </c>
      <c r="I282" s="108">
        <f t="shared" ca="1" si="26"/>
        <v>3</v>
      </c>
      <c r="J282" s="108">
        <f t="shared" ca="1" si="26"/>
        <v>3</v>
      </c>
    </row>
    <row r="283" spans="2:10" x14ac:dyDescent="0.3">
      <c r="B283" s="149" t="str">
        <f>+B274</f>
        <v>Outperformance EBITDA</v>
      </c>
      <c r="C283" s="154"/>
      <c r="D283" s="9"/>
      <c r="E283" s="9"/>
      <c r="F283" s="155">
        <f ca="1">+IF(F$277&gt;=F274,$D274,0)</f>
        <v>0</v>
      </c>
      <c r="G283" s="155">
        <f ca="1">+IF(G$277&gt;=G274,$D274,0)</f>
        <v>0</v>
      </c>
      <c r="H283" s="155">
        <f ca="1">+IF(H$277&gt;=H274,$D274,0)</f>
        <v>0</v>
      </c>
      <c r="I283" s="155">
        <f ca="1">+IF(I$277&gt;=I274,$D274,0)</f>
        <v>0</v>
      </c>
      <c r="J283" s="155">
        <f ca="1">+IF(J$277&gt;=J274,$D274,0)</f>
        <v>0</v>
      </c>
    </row>
    <row r="284" spans="2:10" x14ac:dyDescent="0.3">
      <c r="B284" s="151" t="s">
        <v>208</v>
      </c>
      <c r="C284" s="156"/>
      <c r="E284" s="13"/>
      <c r="F284" s="157">
        <f ca="1">SUM(F281:F283)</f>
        <v>5</v>
      </c>
      <c r="G284" s="157">
        <f t="shared" ref="G284:J284" ca="1" si="27">SUM(G281:G283)</f>
        <v>5</v>
      </c>
      <c r="H284" s="157">
        <f t="shared" ca="1" si="27"/>
        <v>5</v>
      </c>
      <c r="I284" s="157">
        <f t="shared" ca="1" si="27"/>
        <v>5</v>
      </c>
      <c r="J284" s="157">
        <f t="shared" ca="1" si="27"/>
        <v>5</v>
      </c>
    </row>
    <row r="285" spans="2:10" x14ac:dyDescent="0.3">
      <c r="B285" s="151"/>
      <c r="C285" s="156"/>
      <c r="E285" s="13"/>
      <c r="F285" s="157"/>
      <c r="G285" s="157"/>
      <c r="H285" s="157"/>
      <c r="I285" s="157"/>
      <c r="J285" s="157"/>
    </row>
    <row r="286" spans="2:10" x14ac:dyDescent="0.3">
      <c r="B286" s="158" t="s">
        <v>209</v>
      </c>
      <c r="C286" s="156"/>
      <c r="E286" s="13"/>
      <c r="F286" s="157"/>
      <c r="G286" s="157"/>
      <c r="H286" s="157"/>
      <c r="I286" s="157"/>
      <c r="J286" s="157"/>
    </row>
    <row r="287" spans="2:10" x14ac:dyDescent="0.3">
      <c r="B287" s="145" t="s">
        <v>210</v>
      </c>
      <c r="C287" s="153"/>
      <c r="F287" s="159">
        <f ca="1">IF(AND(F$277&gt;F272,F282=0),F$277-F272,0)</f>
        <v>0</v>
      </c>
      <c r="G287" s="159">
        <f t="shared" ref="G287:J288" ca="1" si="28">IF(AND(G$277&gt;G272,G282=0),G$277-G272,0)</f>
        <v>0</v>
      </c>
      <c r="H287" s="159">
        <f t="shared" ca="1" si="28"/>
        <v>0</v>
      </c>
      <c r="I287" s="159">
        <f t="shared" ca="1" si="28"/>
        <v>0</v>
      </c>
      <c r="J287" s="159">
        <f t="shared" ca="1" si="28"/>
        <v>0</v>
      </c>
    </row>
    <row r="288" spans="2:10" x14ac:dyDescent="0.3">
      <c r="B288" s="145" t="s">
        <v>211</v>
      </c>
      <c r="C288" s="153"/>
      <c r="F288" s="159">
        <f ca="1">IF(AND(F$277&gt;F273,F283=0),F$277-F273,0)</f>
        <v>37.53125</v>
      </c>
      <c r="G288" s="159">
        <f t="shared" ca="1" si="28"/>
        <v>39.949999999999761</v>
      </c>
      <c r="H288" s="159">
        <f t="shared" ca="1" si="28"/>
        <v>42.063750000000368</v>
      </c>
      <c r="I288" s="159">
        <f t="shared" ca="1" si="28"/>
        <v>43.327625000000012</v>
      </c>
      <c r="J288" s="159">
        <f t="shared" ca="1" si="28"/>
        <v>43.039793750000399</v>
      </c>
    </row>
    <row r="289" spans="2:10" ht="12.9" x14ac:dyDescent="0.35">
      <c r="B289" s="160"/>
      <c r="C289" s="161"/>
      <c r="D289" s="2"/>
      <c r="E289" s="2"/>
      <c r="F289" s="162"/>
      <c r="G289" s="162"/>
      <c r="H289" s="162"/>
      <c r="I289" s="162"/>
      <c r="J289" s="162"/>
    </row>
    <row r="290" spans="2:10" x14ac:dyDescent="0.3">
      <c r="B290" s="102" t="s">
        <v>212</v>
      </c>
    </row>
    <row r="291" spans="2:10" x14ac:dyDescent="0.3">
      <c r="B291" s="145" t="str">
        <f>+B282</f>
        <v>Midpoint EBITDA</v>
      </c>
      <c r="F291" s="159">
        <f ca="1">+(F287/(F273-F272))*$D273</f>
        <v>0</v>
      </c>
      <c r="G291" s="159">
        <f t="shared" ref="G291:J292" ca="1" si="29">+(G287/(G273-G272))*$D273</f>
        <v>0</v>
      </c>
      <c r="H291" s="159">
        <f t="shared" ca="1" si="29"/>
        <v>0</v>
      </c>
      <c r="I291" s="159">
        <f t="shared" ca="1" si="29"/>
        <v>0</v>
      </c>
      <c r="J291" s="159">
        <f t="shared" ca="1" si="29"/>
        <v>0</v>
      </c>
    </row>
    <row r="292" spans="2:10" x14ac:dyDescent="0.3">
      <c r="B292" s="149" t="str">
        <f>+B283</f>
        <v>Outperformance EBITDA</v>
      </c>
      <c r="C292" s="9"/>
      <c r="D292" s="9"/>
      <c r="E292" s="9"/>
      <c r="F292" s="155">
        <f ca="1">+(F288/(F274-F273))*$D274</f>
        <v>4.8741883116883047</v>
      </c>
      <c r="G292" s="155">
        <f t="shared" ca="1" si="29"/>
        <v>4.5115753811405677</v>
      </c>
      <c r="H292" s="155">
        <f t="shared" ca="1" si="29"/>
        <v>4.1306802837994132</v>
      </c>
      <c r="I292" s="155">
        <f t="shared" ca="1" si="29"/>
        <v>3.699820357172217</v>
      </c>
      <c r="J292" s="155">
        <f t="shared" ca="1" si="29"/>
        <v>3.1958625670412326</v>
      </c>
    </row>
    <row r="293" spans="2:10" x14ac:dyDescent="0.3">
      <c r="B293" s="151" t="s">
        <v>212</v>
      </c>
      <c r="C293" s="13"/>
      <c r="D293" s="13"/>
      <c r="E293" s="13"/>
      <c r="F293" s="157">
        <f ca="1">SUM(F291:F292)</f>
        <v>4.8741883116883047</v>
      </c>
      <c r="G293" s="157">
        <f t="shared" ref="G293:J293" ca="1" si="30">SUM(G291:G292)</f>
        <v>4.5115753811405677</v>
      </c>
      <c r="H293" s="157">
        <f t="shared" ca="1" si="30"/>
        <v>4.1306802837994132</v>
      </c>
      <c r="I293" s="157">
        <f t="shared" ca="1" si="30"/>
        <v>3.699820357172217</v>
      </c>
      <c r="J293" s="157">
        <f t="shared" ca="1" si="30"/>
        <v>3.1958625670412326</v>
      </c>
    </row>
    <row r="294" spans="2:10" x14ac:dyDescent="0.3">
      <c r="B294" s="163"/>
      <c r="C294" s="9"/>
      <c r="D294" s="9"/>
      <c r="E294" s="9"/>
      <c r="F294" s="164"/>
      <c r="G294" s="164"/>
      <c r="H294" s="164"/>
      <c r="I294" s="164"/>
      <c r="J294" s="164"/>
    </row>
    <row r="295" spans="2:10" x14ac:dyDescent="0.3">
      <c r="B295" s="151" t="s">
        <v>213</v>
      </c>
      <c r="C295" s="13"/>
      <c r="D295" s="13"/>
      <c r="E295" s="13"/>
      <c r="F295" s="157">
        <f ca="1">+F284+F293</f>
        <v>9.8741883116883038</v>
      </c>
      <c r="G295" s="157">
        <f t="shared" ref="G295:J295" ca="1" si="31">+G284+G293</f>
        <v>9.5115753811405668</v>
      </c>
      <c r="H295" s="157">
        <f t="shared" ca="1" si="31"/>
        <v>9.1306802837994141</v>
      </c>
      <c r="I295" s="157">
        <f t="shared" ca="1" si="31"/>
        <v>8.6998203571722179</v>
      </c>
      <c r="J295" s="157">
        <f t="shared" ca="1" si="31"/>
        <v>8.1958625670412317</v>
      </c>
    </row>
    <row r="296" spans="2:10" x14ac:dyDescent="0.3">
      <c r="B296" s="45"/>
      <c r="C296" s="165"/>
      <c r="D296" s="45"/>
      <c r="E296" s="142"/>
      <c r="F296" s="166"/>
      <c r="G296" s="142"/>
      <c r="H296" s="142"/>
      <c r="I296" s="142"/>
      <c r="J296" s="142"/>
    </row>
    <row r="297" spans="2:10" x14ac:dyDescent="0.3">
      <c r="B297" s="3" t="s">
        <v>214</v>
      </c>
      <c r="C297" s="3"/>
      <c r="D297" s="3"/>
      <c r="E297" s="3"/>
      <c r="F297" s="3"/>
      <c r="G297" s="3"/>
      <c r="H297" s="3"/>
      <c r="I297" s="3"/>
      <c r="J297" s="3"/>
    </row>
    <row r="299" spans="2:10" x14ac:dyDescent="0.3">
      <c r="B299" s="167" t="s">
        <v>215</v>
      </c>
      <c r="C299" s="167"/>
      <c r="D299" s="167"/>
      <c r="E299" s="167"/>
      <c r="F299" s="168">
        <v>2021</v>
      </c>
      <c r="G299" s="168">
        <f>+F299+1</f>
        <v>2022</v>
      </c>
      <c r="H299" s="168">
        <f>+G299+1</f>
        <v>2023</v>
      </c>
      <c r="I299" s="168">
        <f>+H299+1</f>
        <v>2024</v>
      </c>
      <c r="J299" s="168">
        <f>+I299+1</f>
        <v>2025</v>
      </c>
    </row>
    <row r="300" spans="2:10" x14ac:dyDescent="0.3">
      <c r="F300" s="169"/>
      <c r="G300" s="169"/>
    </row>
    <row r="301" spans="2:10" ht="12.9" x14ac:dyDescent="0.35">
      <c r="B301" s="2" t="s">
        <v>216</v>
      </c>
      <c r="C301" s="2"/>
      <c r="D301" s="2"/>
      <c r="E301" s="2"/>
      <c r="F301" s="116">
        <v>150</v>
      </c>
      <c r="G301" s="116">
        <f>+F301+25</f>
        <v>175</v>
      </c>
      <c r="H301" s="116">
        <f>+G301+25</f>
        <v>200</v>
      </c>
      <c r="I301" s="116">
        <f>+H301+25</f>
        <v>225</v>
      </c>
      <c r="J301" s="116">
        <f>+I301+25</f>
        <v>250</v>
      </c>
    </row>
    <row r="302" spans="2:10" ht="12.9" x14ac:dyDescent="0.35">
      <c r="B302" s="2"/>
      <c r="C302" s="2"/>
      <c r="D302" s="2"/>
      <c r="E302" s="2"/>
      <c r="F302" s="116"/>
      <c r="G302" s="116"/>
      <c r="H302" s="116"/>
      <c r="I302" s="116"/>
      <c r="J302" s="116"/>
    </row>
    <row r="303" spans="2:10" x14ac:dyDescent="0.3">
      <c r="B303" s="170" t="s">
        <v>217</v>
      </c>
      <c r="C303" s="1"/>
      <c r="D303" s="1"/>
      <c r="E303" s="1"/>
      <c r="F303" s="171">
        <f ca="1">+F216</f>
        <v>-336.97865857445072</v>
      </c>
      <c r="G303" s="171">
        <f ca="1">+G216</f>
        <v>108.74777796854966</v>
      </c>
      <c r="H303" s="171">
        <f ca="1">+H216</f>
        <v>162.27195969187744</v>
      </c>
      <c r="I303" s="171">
        <f ca="1">+I216</f>
        <v>133.64724521504718</v>
      </c>
      <c r="J303" s="172">
        <f ca="1">+J216</f>
        <v>204.21052529105015</v>
      </c>
    </row>
    <row r="304" spans="2:10" ht="12.9" x14ac:dyDescent="0.35">
      <c r="B304" s="173"/>
      <c r="C304" s="173"/>
      <c r="D304" s="173"/>
      <c r="E304" s="173"/>
      <c r="F304" s="174"/>
      <c r="G304" s="174"/>
      <c r="H304" s="174"/>
      <c r="I304" s="174"/>
      <c r="J304" s="174"/>
    </row>
    <row r="305" spans="2:10" x14ac:dyDescent="0.3">
      <c r="B305" s="102" t="s">
        <v>42</v>
      </c>
      <c r="C305" s="175"/>
      <c r="D305" s="175"/>
      <c r="E305" s="175"/>
    </row>
    <row r="306" spans="2:10" x14ac:dyDescent="0.3">
      <c r="B306" t="s">
        <v>218</v>
      </c>
      <c r="F306" s="43">
        <f>+E42</f>
        <v>0</v>
      </c>
      <c r="G306" s="43">
        <f ca="1">+F308</f>
        <v>336.97865857445072</v>
      </c>
      <c r="H306" s="43">
        <f ca="1">+G308</f>
        <v>228.23088060590106</v>
      </c>
      <c r="I306" s="43">
        <f t="shared" ref="I306:J306" ca="1" si="32">+H308</f>
        <v>65.958920914023622</v>
      </c>
      <c r="J306" s="43">
        <f t="shared" ca="1" si="32"/>
        <v>0</v>
      </c>
    </row>
    <row r="307" spans="2:10" x14ac:dyDescent="0.3">
      <c r="B307" s="9" t="s">
        <v>182</v>
      </c>
      <c r="C307" s="9"/>
      <c r="D307" s="9"/>
      <c r="E307" s="9"/>
      <c r="F307" s="94">
        <f ca="1">MIN(F310,-MIN(F306,F303))</f>
        <v>336.97865857445072</v>
      </c>
      <c r="G307" s="94">
        <f t="shared" ref="G307:J307" ca="1" si="33">MIN(G310,-MIN(G306,G303))</f>
        <v>-108.74777796854966</v>
      </c>
      <c r="H307" s="94">
        <f t="shared" ca="1" si="33"/>
        <v>-162.27195969187744</v>
      </c>
      <c r="I307" s="94">
        <f t="shared" ca="1" si="33"/>
        <v>-65.958920914023622</v>
      </c>
      <c r="J307" s="94">
        <f t="shared" ca="1" si="33"/>
        <v>0</v>
      </c>
    </row>
    <row r="308" spans="2:10" x14ac:dyDescent="0.3">
      <c r="B308" s="13" t="s">
        <v>219</v>
      </c>
      <c r="C308" s="13"/>
      <c r="D308" s="13"/>
      <c r="E308" s="13"/>
      <c r="F308" s="60">
        <f ca="1">SUM(F306:F307)</f>
        <v>336.97865857445072</v>
      </c>
      <c r="G308" s="60">
        <f t="shared" ref="G308:J308" ca="1" si="34">SUM(G306:G307)</f>
        <v>228.23088060590106</v>
      </c>
      <c r="H308" s="60">
        <f t="shared" ca="1" si="34"/>
        <v>65.958920914023622</v>
      </c>
      <c r="I308" s="60">
        <f t="shared" ca="1" si="34"/>
        <v>0</v>
      </c>
      <c r="J308" s="60">
        <f t="shared" ca="1" si="34"/>
        <v>0</v>
      </c>
    </row>
    <row r="309" spans="2:10" x14ac:dyDescent="0.3">
      <c r="F309" s="62"/>
      <c r="G309" s="62"/>
      <c r="H309" s="62"/>
      <c r="I309" s="62"/>
      <c r="J309" s="62"/>
    </row>
    <row r="310" spans="2:10" x14ac:dyDescent="0.3">
      <c r="B310" t="s">
        <v>220</v>
      </c>
      <c r="F310" s="58">
        <f>+$J$19-F306</f>
        <v>1000</v>
      </c>
      <c r="G310" s="58">
        <f ca="1">+$J$19-G306</f>
        <v>663.02134142554928</v>
      </c>
      <c r="H310" s="58">
        <f ca="1">+$J$19-H306</f>
        <v>771.76911939409888</v>
      </c>
      <c r="I310" s="58">
        <f ca="1">+$J$19-I306</f>
        <v>934.04107908597643</v>
      </c>
      <c r="J310" s="58">
        <f ca="1">+$J$19-J306</f>
        <v>1000</v>
      </c>
    </row>
    <row r="311" spans="2:10" x14ac:dyDescent="0.3">
      <c r="B311" t="s">
        <v>221</v>
      </c>
      <c r="F311" s="58">
        <f ca="1">+F310-F307</f>
        <v>663.02134142554928</v>
      </c>
      <c r="G311" s="58">
        <f t="shared" ref="G311:J311" ca="1" si="35">+G310-G307</f>
        <v>771.76911939409888</v>
      </c>
      <c r="H311" s="58">
        <f t="shared" ca="1" si="35"/>
        <v>934.04107908597632</v>
      </c>
      <c r="I311" s="58">
        <f t="shared" ca="1" si="35"/>
        <v>1000</v>
      </c>
      <c r="J311" s="58">
        <f t="shared" ca="1" si="35"/>
        <v>1000</v>
      </c>
    </row>
    <row r="312" spans="2:10" x14ac:dyDescent="0.3">
      <c r="F312" s="58"/>
      <c r="G312" s="58"/>
      <c r="H312" s="58"/>
      <c r="I312" s="58"/>
      <c r="J312" s="58"/>
    </row>
    <row r="313" spans="2:10" x14ac:dyDescent="0.3">
      <c r="B313" s="176" t="s">
        <v>222</v>
      </c>
      <c r="F313" s="177">
        <f ca="1">+IF(F311&lt;0,0,1)</f>
        <v>1</v>
      </c>
      <c r="G313" s="177">
        <f t="shared" ref="G313:J313" ca="1" si="36">+IF(G311&lt;0,0,1)</f>
        <v>1</v>
      </c>
      <c r="H313" s="177">
        <f t="shared" ca="1" si="36"/>
        <v>1</v>
      </c>
      <c r="I313" s="177">
        <f t="shared" ca="1" si="36"/>
        <v>1</v>
      </c>
      <c r="J313" s="177">
        <f t="shared" ca="1" si="36"/>
        <v>1</v>
      </c>
    </row>
    <row r="314" spans="2:10" x14ac:dyDescent="0.3">
      <c r="F314" s="136"/>
      <c r="G314" s="136"/>
      <c r="H314" s="136"/>
      <c r="I314" s="136"/>
      <c r="J314" s="136"/>
    </row>
    <row r="315" spans="2:10" ht="12.9" x14ac:dyDescent="0.35">
      <c r="B315" t="s">
        <v>223</v>
      </c>
      <c r="F315" s="129">
        <f>MAX($F$27,F$301/10000)+($E$27/10000)</f>
        <v>5.5E-2</v>
      </c>
      <c r="G315" s="129">
        <f>MAX($F$27,G$301/10000)+($E$27/10000)</f>
        <v>5.7500000000000002E-2</v>
      </c>
      <c r="H315" s="129">
        <f>MAX($F$27,H$301/10000)+($E$27/10000)</f>
        <v>0.06</v>
      </c>
      <c r="I315" s="129">
        <f>MAX($F$27,I$301/10000)+($E$27/10000)</f>
        <v>6.25E-2</v>
      </c>
      <c r="J315" s="129">
        <f>MAX($F$27,J$301/10000)+($E$27/10000)</f>
        <v>6.5000000000000002E-2</v>
      </c>
    </row>
    <row r="316" spans="2:10" x14ac:dyDescent="0.3">
      <c r="B316" t="s">
        <v>224</v>
      </c>
      <c r="F316" s="43">
        <f ca="1">IF($J$23=1,AVERAGE(F306,F308)*F315,0)</f>
        <v>9.266913110797395</v>
      </c>
      <c r="G316" s="43">
        <f ca="1">IF($J$23=1,AVERAGE(G306,G308)*G315,0)</f>
        <v>16.249774251435117</v>
      </c>
      <c r="H316" s="43">
        <f ca="1">IF($J$23=1,AVERAGE(H306,H308)*H315,0)</f>
        <v>8.8256940455977411</v>
      </c>
      <c r="I316" s="43">
        <f ca="1">IF($J$23=1,AVERAGE(I306,I308)*I315,0)</f>
        <v>2.0612162785632382</v>
      </c>
      <c r="J316" s="43">
        <f ca="1">IF($J$23=1,AVERAGE(J306,J308)*J315,0)</f>
        <v>0</v>
      </c>
    </row>
    <row r="317" spans="2:10" x14ac:dyDescent="0.3">
      <c r="F317" s="62"/>
      <c r="G317" s="62"/>
      <c r="H317" s="62"/>
      <c r="I317" s="62"/>
      <c r="J317" s="62"/>
    </row>
    <row r="318" spans="2:10" x14ac:dyDescent="0.3">
      <c r="B318" t="s">
        <v>225</v>
      </c>
      <c r="F318" s="178">
        <f ca="1">+IF($J$23=1,AVERAGE(F310,F311)*$J$20,0)</f>
        <v>2.0787766767819367</v>
      </c>
      <c r="G318" s="178">
        <f ca="1">+IF($J$23=1,AVERAGE(G310,G311)*$J$20,0)</f>
        <v>1.7934880760245602</v>
      </c>
      <c r="H318" s="178">
        <f ca="1">+IF($J$23=1,AVERAGE(H310,H311)*$J$20,0)</f>
        <v>2.1322627481000938</v>
      </c>
      <c r="I318" s="178">
        <f ca="1">+IF($J$23=1,AVERAGE(I310,I311)*$J$20,0)</f>
        <v>2.4175513488574705</v>
      </c>
      <c r="J318" s="178">
        <f ca="1">+IF($J$23=1,AVERAGE(J310,J311)*$J$20,0)</f>
        <v>2.5</v>
      </c>
    </row>
    <row r="319" spans="2:10" x14ac:dyDescent="0.3">
      <c r="F319" s="178"/>
      <c r="G319" s="178"/>
      <c r="H319" s="178"/>
      <c r="I319" s="178"/>
      <c r="J319" s="178"/>
    </row>
    <row r="320" spans="2:10" x14ac:dyDescent="0.3">
      <c r="B320" s="170" t="s">
        <v>226</v>
      </c>
      <c r="C320" s="1"/>
      <c r="D320" s="1"/>
      <c r="E320" s="1"/>
      <c r="F320" s="171">
        <f ca="1">+F303+F307</f>
        <v>0</v>
      </c>
      <c r="G320" s="171">
        <f t="shared" ref="G320:J320" ca="1" si="37">+G303+G307</f>
        <v>0</v>
      </c>
      <c r="H320" s="171">
        <f t="shared" ca="1" si="37"/>
        <v>0</v>
      </c>
      <c r="I320" s="171">
        <f t="shared" ca="1" si="37"/>
        <v>67.688324301023556</v>
      </c>
      <c r="J320" s="172">
        <f t="shared" ca="1" si="37"/>
        <v>204.21052529105015</v>
      </c>
    </row>
    <row r="321" spans="2:10" x14ac:dyDescent="0.3">
      <c r="F321" s="178"/>
      <c r="G321" s="178"/>
      <c r="H321" s="178"/>
      <c r="I321" s="178"/>
      <c r="J321" s="178"/>
    </row>
    <row r="322" spans="2:10" x14ac:dyDescent="0.3">
      <c r="B322" s="102" t="s">
        <v>43</v>
      </c>
      <c r="C322" s="175"/>
      <c r="D322" s="175"/>
      <c r="E322" s="175"/>
      <c r="F322" s="136"/>
      <c r="G322" s="136"/>
      <c r="H322" s="136"/>
      <c r="I322" s="136"/>
      <c r="J322" s="136"/>
    </row>
    <row r="323" spans="2:10" x14ac:dyDescent="0.3">
      <c r="B323" t="s">
        <v>218</v>
      </c>
      <c r="F323" s="58">
        <f>+E43</f>
        <v>2070</v>
      </c>
      <c r="G323" s="58">
        <f ca="1">+F326</f>
        <v>1966.5</v>
      </c>
      <c r="H323" s="58">
        <f t="shared" ref="H323:J323" ca="1" si="38">+G326</f>
        <v>1863</v>
      </c>
      <c r="I323" s="58">
        <f t="shared" ca="1" si="38"/>
        <v>1759.5</v>
      </c>
      <c r="J323" s="58">
        <f t="shared" ca="1" si="38"/>
        <v>1588.3116756989764</v>
      </c>
    </row>
    <row r="324" spans="2:10" x14ac:dyDescent="0.3">
      <c r="B324" t="s">
        <v>178</v>
      </c>
      <c r="F324" s="42">
        <f>-MIN($E$43*$G$28,F323)</f>
        <v>-103.5</v>
      </c>
      <c r="G324" s="42">
        <f ca="1">-MIN($E$43*$G$28,G323)</f>
        <v>-103.5</v>
      </c>
      <c r="H324" s="42">
        <f ca="1">-MIN($E$43*$G$28,H323)</f>
        <v>-103.5</v>
      </c>
      <c r="I324" s="42">
        <f ca="1">-MIN($E$43*$G$28,I323)</f>
        <v>-103.5</v>
      </c>
      <c r="J324" s="42">
        <f ca="1">-MIN($E$43*$G$28,J323)</f>
        <v>-103.5</v>
      </c>
    </row>
    <row r="325" spans="2:10" x14ac:dyDescent="0.3">
      <c r="B325" s="9" t="s">
        <v>184</v>
      </c>
      <c r="C325" s="9"/>
      <c r="D325" s="9"/>
      <c r="E325" s="9"/>
      <c r="F325" s="59">
        <f ca="1">-MIN(SUM(F323:F324),F320)</f>
        <v>0</v>
      </c>
      <c r="G325" s="59">
        <f t="shared" ref="G325:J325" ca="1" si="39">-MIN(SUM(G323:G324),G320)</f>
        <v>0</v>
      </c>
      <c r="H325" s="59">
        <f t="shared" ca="1" si="39"/>
        <v>0</v>
      </c>
      <c r="I325" s="59">
        <f t="shared" ca="1" si="39"/>
        <v>-67.688324301023556</v>
      </c>
      <c r="J325" s="59">
        <f t="shared" ca="1" si="39"/>
        <v>-204.21052529105015</v>
      </c>
    </row>
    <row r="326" spans="2:10" x14ac:dyDescent="0.3">
      <c r="B326" s="13" t="s">
        <v>219</v>
      </c>
      <c r="C326" s="13"/>
      <c r="D326" s="13"/>
      <c r="E326" s="13"/>
      <c r="F326" s="16">
        <f ca="1">SUM(F323:F325)</f>
        <v>1966.5</v>
      </c>
      <c r="G326" s="16">
        <f t="shared" ref="G326:J326" ca="1" si="40">SUM(G323:G325)</f>
        <v>1863</v>
      </c>
      <c r="H326" s="16">
        <f t="shared" ca="1" si="40"/>
        <v>1759.5</v>
      </c>
      <c r="I326" s="16">
        <f t="shared" ca="1" si="40"/>
        <v>1588.3116756989764</v>
      </c>
      <c r="J326" s="16">
        <f t="shared" ca="1" si="40"/>
        <v>1280.6011504079263</v>
      </c>
    </row>
    <row r="327" spans="2:10" x14ac:dyDescent="0.3">
      <c r="F327" s="136"/>
      <c r="G327" s="136"/>
      <c r="H327" s="136"/>
      <c r="I327" s="136"/>
      <c r="J327" s="136"/>
    </row>
    <row r="328" spans="2:10" ht="12.9" x14ac:dyDescent="0.35">
      <c r="B328" t="s">
        <v>227</v>
      </c>
      <c r="F328" s="129">
        <f>MAX($F$28,F$301/10000)+($E$28/10000)</f>
        <v>5.5E-2</v>
      </c>
      <c r="G328" s="129">
        <f>MAX($F$28,G$301/10000)+($E$28/10000)</f>
        <v>5.7500000000000002E-2</v>
      </c>
      <c r="H328" s="129">
        <f>MAX($F$28,H$301/10000)+($E$28/10000)</f>
        <v>0.06</v>
      </c>
      <c r="I328" s="129">
        <f>MAX($F$28,I$301/10000)+($E$28/10000)</f>
        <v>6.25E-2</v>
      </c>
      <c r="J328" s="129">
        <f>MAX($F$28,J$301/10000)+($E$28/10000)</f>
        <v>6.5000000000000002E-2</v>
      </c>
    </row>
    <row r="329" spans="2:10" x14ac:dyDescent="0.3">
      <c r="B329" t="s">
        <v>228</v>
      </c>
      <c r="F329" s="58">
        <f ca="1">IF($J$23=1,AVERAGE(F323,F326)*F328,0)</f>
        <v>111.00375</v>
      </c>
      <c r="G329" s="58">
        <f ca="1">IF($J$23=1,AVERAGE(G323,G326)*G328,0)</f>
        <v>110.09812500000001</v>
      </c>
      <c r="H329" s="58">
        <f ca="1">IF($J$23=1,AVERAGE(H323,H326)*H328,0)</f>
        <v>108.675</v>
      </c>
      <c r="I329" s="58">
        <f ca="1">IF($J$23=1,AVERAGE(I323,I326)*I328,0)</f>
        <v>104.61911486559302</v>
      </c>
      <c r="J329" s="58">
        <f ca="1">IF($J$23=1,AVERAGE(J323,J326)*J328,0)</f>
        <v>93.239666848474343</v>
      </c>
    </row>
    <row r="330" spans="2:10" x14ac:dyDescent="0.3">
      <c r="F330" s="179"/>
      <c r="G330" s="179"/>
      <c r="H330" s="179"/>
      <c r="I330" s="179"/>
      <c r="J330" s="179"/>
    </row>
    <row r="331" spans="2:10" x14ac:dyDescent="0.3">
      <c r="B331" s="102" t="s">
        <v>229</v>
      </c>
      <c r="C331" s="175"/>
      <c r="F331" s="180"/>
      <c r="G331" s="180"/>
      <c r="H331" s="180"/>
      <c r="I331" s="180"/>
      <c r="J331" s="180"/>
    </row>
    <row r="332" spans="2:10" x14ac:dyDescent="0.3">
      <c r="B332" t="s">
        <v>230</v>
      </c>
      <c r="F332" s="77">
        <v>0</v>
      </c>
      <c r="G332" s="58">
        <f ca="1">+$E$34*G190</f>
        <v>2839.1305477131555</v>
      </c>
      <c r="H332" s="58">
        <f ca="1">+$E$34*H190</f>
        <v>3252.573418297206</v>
      </c>
      <c r="I332" s="58">
        <f ca="1">+$E$34*I190</f>
        <v>3720.9880778569668</v>
      </c>
      <c r="J332" s="58">
        <f ca="1">+$E$34*J190</f>
        <v>4249.2680245977544</v>
      </c>
    </row>
    <row r="333" spans="2:10" x14ac:dyDescent="0.3">
      <c r="B333" s="9" t="s">
        <v>231</v>
      </c>
      <c r="C333" s="9"/>
      <c r="D333" s="9"/>
      <c r="E333" s="9"/>
      <c r="F333" s="49">
        <v>0</v>
      </c>
      <c r="G333" s="59">
        <f ca="1">-SUM(G308,G326)</f>
        <v>-2091.2308806059009</v>
      </c>
      <c r="H333" s="59">
        <f ca="1">-SUM(H308,H326)</f>
        <v>-1825.4589209140236</v>
      </c>
      <c r="I333" s="59">
        <f ca="1">-SUM(I308,I326)</f>
        <v>-1588.3116756989764</v>
      </c>
      <c r="J333" s="59">
        <f ca="1">-SUM(J308,J326)</f>
        <v>-1280.6011504079263</v>
      </c>
    </row>
    <row r="334" spans="2:10" x14ac:dyDescent="0.3">
      <c r="B334" s="13" t="s">
        <v>232</v>
      </c>
      <c r="C334" s="13"/>
      <c r="D334" s="13"/>
      <c r="E334" s="13"/>
      <c r="F334" s="16">
        <f>+MAX(IF($E$33=1,SUM(F332:F333),0),0)</f>
        <v>0</v>
      </c>
      <c r="G334" s="16">
        <f ca="1">+MAX(IF($E$33=1,SUM(G332:G333),0),0)</f>
        <v>747.89966710725457</v>
      </c>
      <c r="H334" s="16">
        <f ca="1">+MAX(IF($E$33=1,SUM(H332:H333),0),0)</f>
        <v>1427.1144973831824</v>
      </c>
      <c r="I334" s="16">
        <f ca="1">+MAX(IF($E$33=1,SUM(I332:I333),0),0)</f>
        <v>2132.6764021579902</v>
      </c>
      <c r="J334" s="16">
        <f ca="1">+MAX(IF($E$33=1,SUM(J332:J333),0),0)</f>
        <v>2968.6668741898284</v>
      </c>
    </row>
    <row r="335" spans="2:10" x14ac:dyDescent="0.3">
      <c r="F335" s="180"/>
      <c r="G335" s="180"/>
      <c r="H335" s="180"/>
      <c r="I335" s="180"/>
      <c r="J335" s="180"/>
    </row>
    <row r="336" spans="2:10" x14ac:dyDescent="0.3">
      <c r="B336" t="s">
        <v>233</v>
      </c>
      <c r="F336" s="180"/>
      <c r="G336" s="180"/>
      <c r="H336" s="181">
        <f>+IF(AND($E$33=1,$E$36&lt;=H299),1,0)</f>
        <v>0</v>
      </c>
      <c r="I336" s="181">
        <f>+IF(AND($E$33=1,$E$36&lt;=I299),1,0)</f>
        <v>1</v>
      </c>
      <c r="J336" s="181">
        <f>+IF(AND($E$33=1,$E$36&lt;=J299),1,0)</f>
        <v>1</v>
      </c>
    </row>
    <row r="337" spans="2:10" x14ac:dyDescent="0.3">
      <c r="F337" s="180"/>
      <c r="G337" s="180"/>
      <c r="H337" s="180"/>
      <c r="I337" s="180"/>
      <c r="J337" s="180"/>
    </row>
    <row r="338" spans="2:10" x14ac:dyDescent="0.3">
      <c r="B338" s="102" t="s">
        <v>234</v>
      </c>
      <c r="F338" s="180"/>
      <c r="G338" s="180"/>
      <c r="H338" s="180"/>
      <c r="I338" s="180"/>
      <c r="J338" s="180"/>
    </row>
    <row r="339" spans="2:10" x14ac:dyDescent="0.3">
      <c r="B339" t="s">
        <v>235</v>
      </c>
      <c r="F339" s="180"/>
      <c r="G339" s="182"/>
      <c r="H339" s="182">
        <f ca="1">+SUM(H308,H326,H347)/H190</f>
        <v>3.3674116205555631</v>
      </c>
      <c r="I339" s="182">
        <f ca="1">+SUM(I308,I326,I347)/I190</f>
        <v>4.8622991151621813</v>
      </c>
      <c r="J339" s="182">
        <f ca="1">+SUM(J308,J326,J347)/J190</f>
        <v>3.8233158729225045</v>
      </c>
    </row>
    <row r="340" spans="2:10" x14ac:dyDescent="0.3">
      <c r="B340" s="176" t="s">
        <v>236</v>
      </c>
      <c r="F340" s="180"/>
      <c r="G340" s="180"/>
      <c r="H340" s="183">
        <f ca="1">+IF(H339&lt;$E$34,1,0)</f>
        <v>1</v>
      </c>
      <c r="I340" s="183">
        <f ca="1">+IF(I339&lt;$E$34,1,0)</f>
        <v>1</v>
      </c>
      <c r="J340" s="183">
        <f ca="1">+IF(J339&lt;$E$34,1,0)</f>
        <v>1</v>
      </c>
    </row>
    <row r="341" spans="2:10" x14ac:dyDescent="0.3">
      <c r="B341" t="s">
        <v>237</v>
      </c>
      <c r="F341" s="180"/>
      <c r="G341" s="182"/>
      <c r="H341" s="182">
        <f ca="1">-H190/H200</f>
        <v>4.5313230086841605</v>
      </c>
      <c r="I341" s="182">
        <f ca="1">-I190/I200</f>
        <v>2.6916564304634134</v>
      </c>
      <c r="J341" s="182">
        <f ca="1">-J190/J200</f>
        <v>3.2629790968329822</v>
      </c>
    </row>
    <row r="342" spans="2:10" x14ac:dyDescent="0.3">
      <c r="B342" s="176" t="s">
        <v>238</v>
      </c>
      <c r="F342" s="180"/>
      <c r="G342" s="180"/>
      <c r="H342" s="183">
        <f ca="1">+IF(H341&gt;$E$35,1,0)</f>
        <v>1</v>
      </c>
      <c r="I342" s="183">
        <f ca="1">+IF(I341&gt;$E$35,1,0)</f>
        <v>1</v>
      </c>
      <c r="J342" s="183">
        <f ca="1">+IF(J341&gt;$E$35,1,0)</f>
        <v>1</v>
      </c>
    </row>
    <row r="343" spans="2:10" x14ac:dyDescent="0.3">
      <c r="F343" s="43"/>
      <c r="G343" s="43"/>
      <c r="H343" s="43"/>
      <c r="I343" s="43"/>
      <c r="J343" s="43"/>
    </row>
    <row r="344" spans="2:10" x14ac:dyDescent="0.3">
      <c r="B344" s="102" t="s">
        <v>239</v>
      </c>
      <c r="F344" s="180"/>
      <c r="G344" s="180"/>
      <c r="H344" s="184"/>
      <c r="I344" s="180"/>
      <c r="J344" s="180"/>
    </row>
    <row r="345" spans="2:10" x14ac:dyDescent="0.3">
      <c r="B345" t="s">
        <v>218</v>
      </c>
      <c r="F345" s="185">
        <v>0</v>
      </c>
      <c r="G345" s="185">
        <v>0</v>
      </c>
      <c r="H345" s="185">
        <v>0</v>
      </c>
      <c r="I345" s="152">
        <f t="shared" ref="I345:J345" si="41">+H347</f>
        <v>0</v>
      </c>
      <c r="J345" s="152">
        <f t="shared" ca="1" si="41"/>
        <v>1427.1144973831824</v>
      </c>
    </row>
    <row r="346" spans="2:10" x14ac:dyDescent="0.3">
      <c r="B346" s="9" t="s">
        <v>240</v>
      </c>
      <c r="C346" s="9"/>
      <c r="D346" s="9"/>
      <c r="E346" s="9"/>
      <c r="F346" s="48">
        <v>0</v>
      </c>
      <c r="G346" s="48">
        <v>0</v>
      </c>
      <c r="H346" s="186">
        <f>+IF($E$36=H299,G334,0)</f>
        <v>0</v>
      </c>
      <c r="I346" s="186">
        <f ca="1">+IF($E$36=I299,H334,0)</f>
        <v>1427.1144973831824</v>
      </c>
      <c r="J346" s="186">
        <f>+IF($E$36=J299,I334,0)</f>
        <v>0</v>
      </c>
    </row>
    <row r="347" spans="2:10" x14ac:dyDescent="0.3">
      <c r="B347" s="13" t="s">
        <v>219</v>
      </c>
      <c r="C347" s="13"/>
      <c r="D347" s="13"/>
      <c r="E347" s="13"/>
      <c r="F347" s="16">
        <f t="shared" ref="F347:J347" si="42">SUM(F345:F346)</f>
        <v>0</v>
      </c>
      <c r="G347" s="16">
        <f t="shared" si="42"/>
        <v>0</v>
      </c>
      <c r="H347" s="16">
        <f t="shared" si="42"/>
        <v>0</v>
      </c>
      <c r="I347" s="16">
        <f t="shared" ca="1" si="42"/>
        <v>1427.1144973831824</v>
      </c>
      <c r="J347" s="16">
        <f t="shared" ca="1" si="42"/>
        <v>1427.1144973831824</v>
      </c>
    </row>
    <row r="348" spans="2:10" x14ac:dyDescent="0.3">
      <c r="F348" s="179"/>
      <c r="G348" s="179"/>
      <c r="H348" s="179"/>
      <c r="I348" s="179"/>
      <c r="J348" s="179"/>
    </row>
    <row r="349" spans="2:10" ht="12.9" x14ac:dyDescent="0.35">
      <c r="B349" t="s">
        <v>241</v>
      </c>
      <c r="F349" s="92">
        <v>0</v>
      </c>
      <c r="G349" s="92">
        <v>0</v>
      </c>
      <c r="H349" s="129">
        <f>+$E$29</f>
        <v>8.5000000000000006E-2</v>
      </c>
      <c r="I349" s="129">
        <f>+$E$29</f>
        <v>8.5000000000000006E-2</v>
      </c>
      <c r="J349" s="129">
        <f>+$E$29</f>
        <v>8.5000000000000006E-2</v>
      </c>
    </row>
    <row r="350" spans="2:10" ht="12.9" x14ac:dyDescent="0.35">
      <c r="B350" t="s">
        <v>242</v>
      </c>
      <c r="F350" s="92">
        <v>0</v>
      </c>
      <c r="G350" s="92">
        <v>0</v>
      </c>
      <c r="H350" s="58">
        <f>IF($J$23=1,AVERAGE(MAX(H345:H346,H347)*H349),0)</f>
        <v>0</v>
      </c>
      <c r="I350" s="58">
        <f ca="1">IF($J$23=1,AVERAGE(MAX(I345:I346,I347)*I349),0)</f>
        <v>121.30473227757051</v>
      </c>
      <c r="J350" s="58">
        <f ca="1">IF($J$23=1,AVERAGE(MAX(J345:J346,J347)*J349),0)</f>
        <v>121.30473227757051</v>
      </c>
    </row>
    <row r="351" spans="2:10" x14ac:dyDescent="0.3">
      <c r="F351" s="58"/>
      <c r="G351" s="58"/>
      <c r="H351" s="58"/>
      <c r="I351" s="58"/>
      <c r="J351" s="58"/>
    </row>
    <row r="352" spans="2:10" ht="12.9" x14ac:dyDescent="0.35">
      <c r="B352" t="s">
        <v>243</v>
      </c>
      <c r="F352" s="187">
        <v>0</v>
      </c>
      <c r="G352" s="187">
        <v>0</v>
      </c>
      <c r="H352" s="58">
        <f>+IF($J$23=1,(MAX(H345:H346)*$J$22)/$J$21,0)</f>
        <v>0</v>
      </c>
      <c r="I352" s="58">
        <f ca="1">+IF($J$23=1,(MAX(I345:I346)*$J$22)/$J$21,0)</f>
        <v>3.5677862434579559</v>
      </c>
      <c r="J352" s="58">
        <f ca="1">+IF($J$23=1,(MAX(J345:J346)*$J$22)/$J$21,0)</f>
        <v>3.5677862434579559</v>
      </c>
    </row>
    <row r="353" spans="2:10" x14ac:dyDescent="0.3">
      <c r="F353" s="180"/>
      <c r="G353" s="180"/>
      <c r="H353" s="180"/>
      <c r="I353" s="180"/>
      <c r="J353" s="180"/>
    </row>
    <row r="354" spans="2:10" x14ac:dyDescent="0.3">
      <c r="B354" s="3" t="s">
        <v>244</v>
      </c>
      <c r="C354" s="3"/>
      <c r="D354" s="3"/>
      <c r="E354" s="3"/>
      <c r="F354" s="188"/>
      <c r="G354" s="188"/>
      <c r="H354" s="188"/>
      <c r="I354" s="188"/>
      <c r="J354" s="188"/>
    </row>
    <row r="355" spans="2:10" x14ac:dyDescent="0.3">
      <c r="B355" s="3"/>
      <c r="C355" s="3"/>
      <c r="D355" s="3"/>
      <c r="E355" s="3"/>
      <c r="F355" s="188"/>
      <c r="G355" s="188"/>
      <c r="H355" s="188"/>
      <c r="I355" s="188"/>
      <c r="J355" s="188"/>
    </row>
    <row r="356" spans="2:10" x14ac:dyDescent="0.3">
      <c r="B356" s="167" t="s">
        <v>245</v>
      </c>
      <c r="C356" s="189"/>
      <c r="D356" s="189"/>
      <c r="F356" s="167" t="s">
        <v>246</v>
      </c>
      <c r="G356" s="167"/>
      <c r="H356" s="167"/>
      <c r="I356" s="167"/>
      <c r="J356" s="167"/>
    </row>
    <row r="357" spans="2:10" x14ac:dyDescent="0.3">
      <c r="B357" s="1" t="s">
        <v>247</v>
      </c>
      <c r="C357" s="1"/>
      <c r="D357" s="37" t="s">
        <v>248</v>
      </c>
      <c r="F357" t="s">
        <v>249</v>
      </c>
      <c r="G357" s="188"/>
      <c r="H357" s="188"/>
      <c r="I357" s="188"/>
      <c r="J357" s="45">
        <f>+E45/J364</f>
        <v>2701.5375000000004</v>
      </c>
    </row>
    <row r="358" spans="2:10" x14ac:dyDescent="0.3">
      <c r="B358" s="190" t="s">
        <v>250</v>
      </c>
      <c r="D358" s="191">
        <v>1</v>
      </c>
      <c r="F358" t="s">
        <v>251</v>
      </c>
      <c r="G358" s="188"/>
      <c r="H358" s="188"/>
      <c r="I358" s="188"/>
      <c r="J358" s="44">
        <v>0</v>
      </c>
    </row>
    <row r="359" spans="2:10" x14ac:dyDescent="0.3">
      <c r="B359" s="9" t="s">
        <v>252</v>
      </c>
      <c r="C359" s="9"/>
      <c r="D359" s="192">
        <v>0</v>
      </c>
      <c r="F359" s="9" t="s">
        <v>253</v>
      </c>
      <c r="G359" s="193"/>
      <c r="H359" s="193"/>
      <c r="I359" s="193"/>
      <c r="J359" s="49">
        <v>0</v>
      </c>
    </row>
    <row r="360" spans="2:10" x14ac:dyDescent="0.3">
      <c r="B360" s="13" t="s">
        <v>66</v>
      </c>
      <c r="C360" s="13"/>
      <c r="D360" s="194">
        <f>+SUM(D358:D359)</f>
        <v>1</v>
      </c>
      <c r="F360" s="13" t="s">
        <v>254</v>
      </c>
      <c r="G360" s="180"/>
      <c r="H360" s="180"/>
      <c r="I360" s="180"/>
      <c r="J360" s="14">
        <f>+SUM(J357:J359)</f>
        <v>2701.5375000000004</v>
      </c>
    </row>
    <row r="361" spans="2:10" x14ac:dyDescent="0.3">
      <c r="B361" t="s">
        <v>255</v>
      </c>
      <c r="D361" s="195">
        <v>0.05</v>
      </c>
      <c r="F361" s="180"/>
      <c r="G361" s="180"/>
      <c r="H361" s="180"/>
      <c r="I361" s="180"/>
      <c r="J361" s="180"/>
    </row>
    <row r="362" spans="2:10" x14ac:dyDescent="0.3">
      <c r="D362" s="195"/>
      <c r="F362" s="180"/>
      <c r="G362" s="180"/>
      <c r="H362" s="180"/>
      <c r="I362" s="180"/>
      <c r="J362" s="180"/>
    </row>
    <row r="363" spans="2:10" x14ac:dyDescent="0.3">
      <c r="B363" s="17" t="s">
        <v>256</v>
      </c>
      <c r="C363" s="9"/>
      <c r="D363" s="18" t="s">
        <v>248</v>
      </c>
      <c r="F363" s="167" t="s">
        <v>257</v>
      </c>
      <c r="G363" s="189"/>
      <c r="H363" s="189"/>
      <c r="I363" s="189"/>
      <c r="J363" s="189"/>
    </row>
    <row r="364" spans="2:10" x14ac:dyDescent="0.3">
      <c r="B364" s="196" t="s">
        <v>250</v>
      </c>
      <c r="C364" s="197"/>
      <c r="D364" s="198">
        <f>+SUM(D358/SUM($D$360:$D$361))</f>
        <v>0.95238095238095233</v>
      </c>
      <c r="F364" t="s">
        <v>258</v>
      </c>
      <c r="J364" s="199">
        <v>1</v>
      </c>
    </row>
    <row r="365" spans="2:10" x14ac:dyDescent="0.3">
      <c r="B365" s="200" t="s">
        <v>255</v>
      </c>
      <c r="C365" s="200"/>
      <c r="D365" s="201">
        <f>+D361/SUM($D$360:$D$361)</f>
        <v>4.7619047619047616E-2</v>
      </c>
      <c r="F365" t="s">
        <v>259</v>
      </c>
      <c r="J365" s="34">
        <v>8.5000000000000006E-2</v>
      </c>
    </row>
    <row r="366" spans="2:10" x14ac:dyDescent="0.3">
      <c r="B366" s="202" t="s">
        <v>66</v>
      </c>
      <c r="C366" s="202"/>
      <c r="D366" s="203">
        <f>+SUM(D364:D365)</f>
        <v>1</v>
      </c>
      <c r="F366" t="s">
        <v>260</v>
      </c>
      <c r="J366" s="45">
        <f>+E46</f>
        <v>475</v>
      </c>
    </row>
    <row r="367" spans="2:10" x14ac:dyDescent="0.3">
      <c r="F367" t="s">
        <v>261</v>
      </c>
      <c r="J367" s="45">
        <f>+J366/J369</f>
        <v>380</v>
      </c>
    </row>
    <row r="368" spans="2:10" x14ac:dyDescent="0.3">
      <c r="F368" t="s">
        <v>262</v>
      </c>
      <c r="J368" s="191">
        <f>+J366/E47</f>
        <v>0.14953388713339602</v>
      </c>
    </row>
    <row r="369" spans="2:10" x14ac:dyDescent="0.3">
      <c r="F369" t="s">
        <v>263</v>
      </c>
      <c r="J369" s="199">
        <v>1.25</v>
      </c>
    </row>
    <row r="370" spans="2:10" x14ac:dyDescent="0.3">
      <c r="F370" t="s">
        <v>264</v>
      </c>
      <c r="J370" s="58">
        <f>+E12*D365</f>
        <v>227.11904761904762</v>
      </c>
    </row>
    <row r="371" spans="2:10" x14ac:dyDescent="0.3">
      <c r="F371" t="s">
        <v>265</v>
      </c>
      <c r="J371" s="199">
        <v>1</v>
      </c>
    </row>
    <row r="372" spans="2:10" x14ac:dyDescent="0.3">
      <c r="F372" t="s">
        <v>266</v>
      </c>
      <c r="J372" s="42">
        <f>+J370/J371</f>
        <v>227.11904761904762</v>
      </c>
    </row>
    <row r="373" spans="2:10" x14ac:dyDescent="0.3">
      <c r="F373" s="180"/>
      <c r="J373" s="199"/>
    </row>
    <row r="374" spans="2:10" x14ac:dyDescent="0.3">
      <c r="B374" s="167" t="s">
        <v>6</v>
      </c>
      <c r="C374" s="167"/>
      <c r="D374" s="167"/>
      <c r="E374" s="167"/>
      <c r="F374" s="90">
        <v>2021</v>
      </c>
      <c r="G374" s="90">
        <f>+F374+1</f>
        <v>2022</v>
      </c>
      <c r="H374" s="90">
        <f>+G374+1</f>
        <v>2023</v>
      </c>
      <c r="I374" s="90">
        <f>+H374+1</f>
        <v>2024</v>
      </c>
      <c r="J374" s="90">
        <f>+I374+1</f>
        <v>2025</v>
      </c>
    </row>
    <row r="375" spans="2:10" x14ac:dyDescent="0.3">
      <c r="B375" t="s">
        <v>249</v>
      </c>
      <c r="F375" s="45">
        <f>+J357</f>
        <v>2701.5375000000004</v>
      </c>
      <c r="G375" s="45">
        <f t="shared" ref="G375:J375" si="43">+F375</f>
        <v>2701.5375000000004</v>
      </c>
      <c r="H375" s="45">
        <f t="shared" si="43"/>
        <v>2701.5375000000004</v>
      </c>
      <c r="I375" s="45">
        <f t="shared" si="43"/>
        <v>2701.5375000000004</v>
      </c>
      <c r="J375" s="45">
        <f t="shared" si="43"/>
        <v>2701.5375000000004</v>
      </c>
    </row>
    <row r="376" spans="2:10" x14ac:dyDescent="0.3">
      <c r="B376" t="s">
        <v>251</v>
      </c>
      <c r="F376" s="165">
        <f ca="1">+IF(F394&gt;F393,$J$367,0)</f>
        <v>0</v>
      </c>
      <c r="G376" s="165">
        <f ca="1">+IF(G394&gt;G393,$J$367,0)</f>
        <v>380</v>
      </c>
      <c r="H376" s="165">
        <f ca="1">+IF(H394&gt;H393,$J$367,0)</f>
        <v>380</v>
      </c>
      <c r="I376" s="165">
        <f ca="1">+IF(I394&gt;I393,$J$367,0)</f>
        <v>380</v>
      </c>
      <c r="J376" s="165">
        <f ca="1">+IF(J394&gt;J393,$J$367,0)</f>
        <v>380</v>
      </c>
    </row>
    <row r="377" spans="2:10" x14ac:dyDescent="0.3">
      <c r="B377" s="9" t="s">
        <v>267</v>
      </c>
      <c r="C377" s="9"/>
      <c r="D377" s="9"/>
      <c r="E377" s="9"/>
      <c r="F377" s="94">
        <f ca="1">+IF(F380&gt;$J$371,$J$372-($J$371*$J$372)/F380,0)</f>
        <v>32.447105818619008</v>
      </c>
      <c r="G377" s="94">
        <f t="shared" ref="G377:J377" ca="1" si="44">+IF(G380&gt;$J$371,$J$372-($J$371*$J$372)/G380,0)</f>
        <v>77.48923480778285</v>
      </c>
      <c r="H377" s="94">
        <f t="shared" ca="1" si="44"/>
        <v>107.59408511208129</v>
      </c>
      <c r="I377" s="94">
        <f t="shared" ca="1" si="44"/>
        <v>106.48183698664883</v>
      </c>
      <c r="J377" s="94">
        <f t="shared" ca="1" si="44"/>
        <v>130.94421924068075</v>
      </c>
    </row>
    <row r="378" spans="2:10" x14ac:dyDescent="0.3">
      <c r="B378" s="13" t="s">
        <v>268</v>
      </c>
      <c r="C378" s="13"/>
      <c r="F378" s="204">
        <f ca="1">+IF($J$23=1,SUM(F375:F377),0)</f>
        <v>2733.9846058186195</v>
      </c>
      <c r="G378" s="204">
        <f ca="1">+IF($J$23=1,SUM(G375:G377),0)</f>
        <v>3159.0267348077832</v>
      </c>
      <c r="H378" s="204">
        <f ca="1">+IF($J$23=1,SUM(H375:H377),0)</f>
        <v>3189.1315851120817</v>
      </c>
      <c r="I378" s="204">
        <f ca="1">+IF($J$23=1,SUM(I375:I377),0)</f>
        <v>3188.0193369866493</v>
      </c>
      <c r="J378" s="204">
        <f ca="1">+IF($J$23=1,SUM(J375:J377),0)</f>
        <v>3212.4817192406813</v>
      </c>
    </row>
    <row r="379" spans="2:10" x14ac:dyDescent="0.3">
      <c r="B379" s="13"/>
      <c r="C379" s="13"/>
      <c r="F379" s="204"/>
      <c r="G379" s="204"/>
      <c r="H379" s="204"/>
      <c r="I379" s="204"/>
      <c r="J379" s="204"/>
    </row>
    <row r="380" spans="2:10" x14ac:dyDescent="0.3">
      <c r="B380" s="170" t="s">
        <v>269</v>
      </c>
      <c r="C380" s="1"/>
      <c r="D380" s="1"/>
      <c r="E380" s="205"/>
      <c r="F380" s="206">
        <f ca="1">IF($J$23=1,IF(F394&gt;F393,F390/F378,(F390-F393)/F378),0)</f>
        <v>1.1666758214796189</v>
      </c>
      <c r="G380" s="206">
        <f ca="1">IF($J$23=1,IF(G394&gt;G393,G390/G378,(G390-G393)/G378),0)</f>
        <v>1.5178729649653691</v>
      </c>
      <c r="H380" s="206">
        <f ca="1">IF($J$23=1,IF(H394&gt;H393,H390/H378,(H390-H393)/H378),0)</f>
        <v>1.9001808731444725</v>
      </c>
      <c r="I380" s="206">
        <f ca="1">IF($J$23=1,IF(I394&gt;I393,I390/I378,(I390-I393)/I378),0)</f>
        <v>1.88266163009286</v>
      </c>
      <c r="J380" s="207">
        <f ca="1">IF($J$23=1,IF(J394&gt;J393,J390/J378,(J390-J393)/J378),0)</f>
        <v>2.3615227752268573</v>
      </c>
    </row>
    <row r="381" spans="2:10" x14ac:dyDescent="0.3">
      <c r="F381" s="180"/>
      <c r="G381" s="180"/>
      <c r="H381" s="180"/>
      <c r="I381" s="180"/>
      <c r="J381" s="180"/>
    </row>
    <row r="382" spans="2:10" x14ac:dyDescent="0.3">
      <c r="B382" s="3" t="s">
        <v>270</v>
      </c>
      <c r="C382" s="3"/>
      <c r="D382" s="3"/>
      <c r="E382" s="3"/>
      <c r="F382" s="3"/>
      <c r="G382" s="3"/>
      <c r="H382" s="3"/>
      <c r="I382" s="3"/>
      <c r="J382" s="3"/>
    </row>
    <row r="384" spans="2:10" x14ac:dyDescent="0.3">
      <c r="B384" s="5" t="s">
        <v>271</v>
      </c>
      <c r="C384" s="5"/>
      <c r="D384" s="5"/>
      <c r="E384" s="5"/>
      <c r="F384" s="90">
        <v>2021</v>
      </c>
      <c r="G384" s="90">
        <f>+F384+1</f>
        <v>2022</v>
      </c>
      <c r="H384" s="90">
        <f>+G384+1</f>
        <v>2023</v>
      </c>
      <c r="I384" s="90">
        <f>+H384+1</f>
        <v>2024</v>
      </c>
      <c r="J384" s="90">
        <f>+I384+1</f>
        <v>2025</v>
      </c>
    </row>
    <row r="386" spans="2:10" x14ac:dyDescent="0.3">
      <c r="B386" s="13" t="s">
        <v>272</v>
      </c>
      <c r="C386" s="13"/>
      <c r="D386" s="13"/>
      <c r="E386" s="208"/>
      <c r="F386" s="16">
        <f ca="1">+F190</f>
        <v>412.65706168831173</v>
      </c>
      <c r="G386" s="16">
        <f ca="1">+G190</f>
        <v>473.18842461885924</v>
      </c>
      <c r="H386" s="16">
        <f ca="1">+H190</f>
        <v>542.095569716201</v>
      </c>
      <c r="I386" s="16">
        <f ca="1">+I190</f>
        <v>620.16467964282776</v>
      </c>
      <c r="J386" s="16">
        <f ca="1">+J190</f>
        <v>708.21133743295911</v>
      </c>
    </row>
    <row r="387" spans="2:10" x14ac:dyDescent="0.3">
      <c r="B387" s="9" t="s">
        <v>273</v>
      </c>
      <c r="C387" s="9"/>
      <c r="D387" s="9"/>
      <c r="E387" s="209"/>
      <c r="F387" s="210">
        <v>14.5</v>
      </c>
      <c r="G387" s="211">
        <f>+F387</f>
        <v>14.5</v>
      </c>
      <c r="H387" s="211">
        <f>+G387</f>
        <v>14.5</v>
      </c>
      <c r="I387" s="211">
        <f>+H387</f>
        <v>14.5</v>
      </c>
      <c r="J387" s="211">
        <f>+I387</f>
        <v>14.5</v>
      </c>
    </row>
    <row r="388" spans="2:10" x14ac:dyDescent="0.3">
      <c r="B388" s="13" t="s">
        <v>274</v>
      </c>
      <c r="C388" s="13"/>
      <c r="D388" s="13"/>
      <c r="E388" s="208"/>
      <c r="F388" s="16">
        <f ca="1">+F386*F387</f>
        <v>5983.5273944805203</v>
      </c>
      <c r="G388" s="16">
        <f t="shared" ref="G388:J388" ca="1" si="45">+G386*G387</f>
        <v>6861.2321569734595</v>
      </c>
      <c r="H388" s="16">
        <f t="shared" ca="1" si="45"/>
        <v>7860.3857608849148</v>
      </c>
      <c r="I388" s="16">
        <f t="shared" ca="1" si="45"/>
        <v>8992.3878548210032</v>
      </c>
      <c r="J388" s="16">
        <f t="shared" ca="1" si="45"/>
        <v>10269.064392777907</v>
      </c>
    </row>
    <row r="389" spans="2:10" x14ac:dyDescent="0.3">
      <c r="B389" s="9" t="s">
        <v>275</v>
      </c>
      <c r="C389" s="9"/>
      <c r="D389" s="9"/>
      <c r="E389" s="209"/>
      <c r="F389" s="59">
        <f ca="1">-SUM(F308,F326,F347)+F225</f>
        <v>-2278.4786585744505</v>
      </c>
      <c r="G389" s="59">
        <f ca="1">-SUM(G308,G326,G347)+G225</f>
        <v>-2066.2308806059009</v>
      </c>
      <c r="H389" s="59">
        <f ca="1">-SUM(H308,H326,H347)+H225</f>
        <v>-1800.4589209140236</v>
      </c>
      <c r="I389" s="59">
        <f ca="1">-SUM(I308,I326,I347)+I225</f>
        <v>-2990.426173082159</v>
      </c>
      <c r="J389" s="59">
        <f ca="1">-SUM(J308,J326,J347)+J225</f>
        <v>-2682.7156477911085</v>
      </c>
    </row>
    <row r="390" spans="2:10" x14ac:dyDescent="0.3">
      <c r="B390" s="13" t="s">
        <v>276</v>
      </c>
      <c r="C390" s="13"/>
      <c r="D390" s="13"/>
      <c r="E390" s="208"/>
      <c r="F390" s="16">
        <f ca="1">+SUM(F388:F389)</f>
        <v>3705.0487359060699</v>
      </c>
      <c r="G390" s="16">
        <f ca="1">+SUM(G388:G389)</f>
        <v>4795.0012763675586</v>
      </c>
      <c r="H390" s="16">
        <f ca="1">+SUM(H388:H389)</f>
        <v>6059.9268399708908</v>
      </c>
      <c r="I390" s="16">
        <f ca="1">+SUM(I388:I389)</f>
        <v>6001.9616817388442</v>
      </c>
      <c r="J390" s="16">
        <f ca="1">+SUM(J388:J389)</f>
        <v>7586.3487449867989</v>
      </c>
    </row>
    <row r="391" spans="2:10" x14ac:dyDescent="0.3">
      <c r="B391" s="13"/>
      <c r="C391" s="13"/>
      <c r="D391" s="13"/>
      <c r="E391" s="208"/>
      <c r="F391" s="16"/>
      <c r="G391" s="16"/>
      <c r="H391" s="16"/>
      <c r="I391" s="16"/>
      <c r="J391" s="16"/>
    </row>
    <row r="392" spans="2:10" x14ac:dyDescent="0.3">
      <c r="B392" s="17" t="s">
        <v>277</v>
      </c>
      <c r="C392" s="9"/>
      <c r="D392" s="9"/>
      <c r="E392" s="212"/>
      <c r="F392" s="132"/>
      <c r="G392" s="132"/>
      <c r="H392" s="132"/>
      <c r="I392" s="132"/>
      <c r="J392" s="132"/>
    </row>
    <row r="393" spans="2:10" x14ac:dyDescent="0.3">
      <c r="B393" t="s">
        <v>278</v>
      </c>
      <c r="E393" s="213"/>
      <c r="F393" s="152">
        <f>+$J366*(1+$J$365)</f>
        <v>515.375</v>
      </c>
      <c r="G393" s="152">
        <f>+F393*(1+$J$365)</f>
        <v>559.18187499999999</v>
      </c>
      <c r="H393" s="152">
        <f t="shared" ref="H393:J393" si="46">+G393*(1+$J$365)</f>
        <v>606.71233437499995</v>
      </c>
      <c r="I393" s="152">
        <f>+H393*(1+$J$365)</f>
        <v>658.2828827968749</v>
      </c>
      <c r="J393" s="152">
        <f t="shared" si="46"/>
        <v>714.23692783460922</v>
      </c>
    </row>
    <row r="394" spans="2:10" x14ac:dyDescent="0.3">
      <c r="B394" t="s">
        <v>279</v>
      </c>
      <c r="E394" s="213"/>
      <c r="F394" s="152">
        <f ca="1">+F380*$J$367</f>
        <v>443.33681216225517</v>
      </c>
      <c r="G394" s="152">
        <f ca="1">+G380*$J$367</f>
        <v>576.79172668684021</v>
      </c>
      <c r="H394" s="152">
        <f ca="1">+H380*$J$367</f>
        <v>722.06873179489958</v>
      </c>
      <c r="I394" s="152">
        <f ca="1">+I380*$J$367</f>
        <v>715.4114194352868</v>
      </c>
      <c r="J394" s="152">
        <f ca="1">+J380*$J$367</f>
        <v>897.37865458620581</v>
      </c>
    </row>
    <row r="395" spans="2:10" x14ac:dyDescent="0.3">
      <c r="F395" s="214"/>
      <c r="G395" s="214"/>
      <c r="H395" s="214"/>
      <c r="I395" s="214"/>
      <c r="J395" s="214"/>
    </row>
    <row r="396" spans="2:10" x14ac:dyDescent="0.3">
      <c r="B396" t="s">
        <v>280</v>
      </c>
      <c r="D396" s="147" t="s">
        <v>281</v>
      </c>
      <c r="E396" s="215">
        <f>+E36</f>
        <v>2024</v>
      </c>
      <c r="F396" s="58">
        <f ca="1">+MAX(F393,F394)</f>
        <v>515.375</v>
      </c>
      <c r="G396" s="58">
        <f ca="1">+MAX(G393,G394)</f>
        <v>576.79172668684021</v>
      </c>
      <c r="H396" s="58">
        <f ca="1">+MAX(H393,H394)</f>
        <v>722.06873179489958</v>
      </c>
      <c r="I396" s="58">
        <f ca="1">+MAX(I393,I394)</f>
        <v>715.4114194352868</v>
      </c>
      <c r="J396" s="58">
        <f ca="1">+MAX(J393,J394)</f>
        <v>897.37865458620581</v>
      </c>
    </row>
    <row r="397" spans="2:10" x14ac:dyDescent="0.3">
      <c r="B397" t="s">
        <v>282</v>
      </c>
      <c r="C397" s="45"/>
      <c r="D397" s="147" t="s">
        <v>283</v>
      </c>
      <c r="E397" s="216">
        <f ca="1">-SUM(H215:J215)*J368</f>
        <v>213.40197817812998</v>
      </c>
      <c r="F397" s="44">
        <v>0</v>
      </c>
      <c r="G397" s="44">
        <v>0</v>
      </c>
      <c r="H397" s="45">
        <f>+IF(H384&gt;=$E$396,$E$397,0)</f>
        <v>0</v>
      </c>
      <c r="I397" s="45">
        <f ca="1">+IF(I384&gt;=$E$396,$E$397,0)</f>
        <v>213.40197817812998</v>
      </c>
      <c r="J397" s="45">
        <f ca="1">+IF(J384&gt;=$E$396,$E$397,0)</f>
        <v>213.40197817812998</v>
      </c>
    </row>
    <row r="398" spans="2:10" x14ac:dyDescent="0.3">
      <c r="B398" s="9" t="s">
        <v>284</v>
      </c>
      <c r="C398" s="94"/>
      <c r="D398" s="94"/>
      <c r="E398" s="94"/>
      <c r="F398" s="59">
        <f>-F196</f>
        <v>5</v>
      </c>
      <c r="G398" s="59">
        <f>-G196</f>
        <v>5</v>
      </c>
      <c r="H398" s="59">
        <f>-H196</f>
        <v>5</v>
      </c>
      <c r="I398" s="59">
        <f>-I196</f>
        <v>5</v>
      </c>
      <c r="J398" s="59">
        <f>-J196</f>
        <v>5</v>
      </c>
    </row>
    <row r="399" spans="2:10" x14ac:dyDescent="0.3">
      <c r="B399" s="13" t="s">
        <v>285</v>
      </c>
      <c r="C399" s="13"/>
      <c r="D399" s="13"/>
      <c r="E399" s="208"/>
      <c r="F399" s="16">
        <f ca="1">+SUM(F396:F398)</f>
        <v>520.375</v>
      </c>
      <c r="G399" s="16">
        <f t="shared" ref="G399:J399" ca="1" si="47">+SUM(G396:G398)</f>
        <v>581.79172668684021</v>
      </c>
      <c r="H399" s="16">
        <f t="shared" ca="1" si="47"/>
        <v>727.06873179489958</v>
      </c>
      <c r="I399" s="16">
        <f t="shared" ca="1" si="47"/>
        <v>933.81339761341678</v>
      </c>
      <c r="J399" s="16">
        <f t="shared" ca="1" si="47"/>
        <v>1115.7806327643357</v>
      </c>
    </row>
    <row r="401" spans="2:10" x14ac:dyDescent="0.3">
      <c r="B401" s="98" t="s">
        <v>286</v>
      </c>
      <c r="C401" s="98"/>
      <c r="D401" s="98"/>
      <c r="E401" s="217">
        <v>2020</v>
      </c>
      <c r="F401" s="218">
        <f>+E401+1</f>
        <v>2021</v>
      </c>
      <c r="G401" s="218">
        <f>+F401+1</f>
        <v>2022</v>
      </c>
      <c r="H401" s="218">
        <f>+G401+1</f>
        <v>2023</v>
      </c>
      <c r="I401" s="218">
        <f>+H401+1</f>
        <v>2024</v>
      </c>
      <c r="J401" s="218">
        <f>+I401+1</f>
        <v>2025</v>
      </c>
    </row>
    <row r="402" spans="2:10" ht="12.9" x14ac:dyDescent="0.35">
      <c r="B402" s="175"/>
      <c r="E402" s="219">
        <v>44196</v>
      </c>
      <c r="F402" s="219">
        <f>+EOMONTH(E402,12)</f>
        <v>44561</v>
      </c>
      <c r="G402" s="219">
        <f>+EOMONTH(F402,12)</f>
        <v>44926</v>
      </c>
      <c r="H402" s="219">
        <f>+EOMONTH(G402,12)</f>
        <v>45291</v>
      </c>
      <c r="I402" s="219">
        <f>+EOMONTH(H402,12)</f>
        <v>45657</v>
      </c>
      <c r="J402" s="219">
        <f>+EOMONTH(I402,12)</f>
        <v>46022</v>
      </c>
    </row>
    <row r="403" spans="2:10" x14ac:dyDescent="0.3">
      <c r="B403" s="220">
        <v>2021</v>
      </c>
      <c r="E403" s="221">
        <f>-$E$46</f>
        <v>-475</v>
      </c>
      <c r="F403" s="221">
        <f ca="1">+F399</f>
        <v>520.375</v>
      </c>
      <c r="G403" s="221"/>
      <c r="H403" s="221"/>
      <c r="I403" s="221"/>
      <c r="J403" s="221"/>
    </row>
    <row r="404" spans="2:10" x14ac:dyDescent="0.3">
      <c r="B404" s="220">
        <f>+B403+1</f>
        <v>2022</v>
      </c>
      <c r="E404" s="221">
        <f>-$E$46</f>
        <v>-475</v>
      </c>
      <c r="F404" s="221">
        <f>+F$398</f>
        <v>5</v>
      </c>
      <c r="G404" s="221">
        <f ca="1">+G399</f>
        <v>581.79172668684021</v>
      </c>
      <c r="H404" s="221"/>
      <c r="I404" s="221"/>
      <c r="J404" s="221"/>
    </row>
    <row r="405" spans="2:10" x14ac:dyDescent="0.3">
      <c r="B405" s="220">
        <f>+B404+1</f>
        <v>2023</v>
      </c>
      <c r="E405" s="221">
        <f>-$E$46</f>
        <v>-475</v>
      </c>
      <c r="F405" s="221">
        <f t="shared" ref="F405:I407" si="48">+F$398</f>
        <v>5</v>
      </c>
      <c r="G405" s="221">
        <f t="shared" si="48"/>
        <v>5</v>
      </c>
      <c r="H405" s="221">
        <f ca="1">+H399</f>
        <v>727.06873179489958</v>
      </c>
      <c r="I405" s="221"/>
      <c r="J405" s="221"/>
    </row>
    <row r="406" spans="2:10" x14ac:dyDescent="0.3">
      <c r="B406" s="220">
        <f>+B405+1</f>
        <v>2024</v>
      </c>
      <c r="E406" s="221">
        <f>-$E$46</f>
        <v>-475</v>
      </c>
      <c r="F406" s="221">
        <f t="shared" si="48"/>
        <v>5</v>
      </c>
      <c r="G406" s="221">
        <f t="shared" si="48"/>
        <v>5</v>
      </c>
      <c r="H406" s="221">
        <f t="shared" si="48"/>
        <v>5</v>
      </c>
      <c r="I406" s="221">
        <f ca="1">+I399</f>
        <v>933.81339761341678</v>
      </c>
      <c r="J406" s="221"/>
    </row>
    <row r="407" spans="2:10" x14ac:dyDescent="0.3">
      <c r="B407" s="220">
        <f>+B406+1</f>
        <v>2025</v>
      </c>
      <c r="E407" s="221">
        <f>-$E$46</f>
        <v>-475</v>
      </c>
      <c r="F407" s="221">
        <f t="shared" si="48"/>
        <v>5</v>
      </c>
      <c r="G407" s="221">
        <f t="shared" si="48"/>
        <v>5</v>
      </c>
      <c r="H407" s="221">
        <f t="shared" si="48"/>
        <v>5</v>
      </c>
      <c r="I407" s="221">
        <f t="shared" si="48"/>
        <v>5</v>
      </c>
      <c r="J407" s="221">
        <f ca="1">+J399</f>
        <v>1115.7806327643357</v>
      </c>
    </row>
    <row r="408" spans="2:10" x14ac:dyDescent="0.3">
      <c r="B408" s="220"/>
      <c r="C408" s="222"/>
      <c r="D408" s="223"/>
      <c r="E408" s="152"/>
      <c r="F408" s="152"/>
      <c r="G408" s="152"/>
      <c r="H408" s="152"/>
      <c r="I408" s="152"/>
      <c r="J408" s="152"/>
    </row>
    <row r="409" spans="2:10" x14ac:dyDescent="0.3">
      <c r="B409" s="224" t="s">
        <v>287</v>
      </c>
      <c r="C409" s="225"/>
      <c r="D409" s="226"/>
      <c r="E409" s="227"/>
      <c r="F409" s="228">
        <f ca="1">+XIRR(E403:J403,$E$402:$J$402)</f>
        <v>9.5526316761970514E-2</v>
      </c>
      <c r="G409" s="228">
        <f ca="1">+XIRR(E404:J404,$E$402:$J$402)</f>
        <v>0.11199365258216859</v>
      </c>
      <c r="H409" s="228">
        <f ca="1">+XIRR(E405:J405,$E$402:$J$402)</f>
        <v>0.15903708338737491</v>
      </c>
      <c r="I409" s="228">
        <f ca="1">+XIRR(E406:J406,$E$402:$J$402)</f>
        <v>0.19072225689888</v>
      </c>
      <c r="J409" s="229">
        <f ca="1">+XIRR(E407:J407,$E$402:$J$402)</f>
        <v>0.19280151724815367</v>
      </c>
    </row>
    <row r="410" spans="2:10" x14ac:dyDescent="0.3">
      <c r="B410" s="230" t="s">
        <v>288</v>
      </c>
      <c r="C410" s="231"/>
      <c r="D410" s="232"/>
      <c r="E410" s="233"/>
      <c r="F410" s="234">
        <f ca="1">+SUM(F403:J403)/-E403</f>
        <v>1.0955263157894737</v>
      </c>
      <c r="G410" s="234">
        <f ca="1">+SUM(F404:J404)/-E404</f>
        <v>1.2353510035512425</v>
      </c>
      <c r="H410" s="234">
        <f ca="1">+SUM(F405:J405)/-E405</f>
        <v>1.5517236458839991</v>
      </c>
      <c r="I410" s="234">
        <f ca="1">+SUM(F406:J406)/-E406</f>
        <v>1.9975018897124563</v>
      </c>
      <c r="J410" s="235">
        <f ca="1">+SUM(F407:J407)/-E407</f>
        <v>2.3911171216091276</v>
      </c>
    </row>
    <row r="411" spans="2:10" x14ac:dyDescent="0.3">
      <c r="B411" s="220"/>
      <c r="C411" s="222"/>
      <c r="D411" s="223"/>
      <c r="E411" s="152"/>
      <c r="F411" s="152"/>
      <c r="G411" s="152"/>
      <c r="H411" s="152"/>
      <c r="I411" s="152"/>
      <c r="J411" s="152"/>
    </row>
    <row r="412" spans="2:10" x14ac:dyDescent="0.3">
      <c r="B412" s="71" t="s">
        <v>289</v>
      </c>
      <c r="C412" s="236"/>
      <c r="D412" s="237"/>
      <c r="E412" s="238"/>
      <c r="F412" s="238"/>
      <c r="G412" s="238"/>
      <c r="H412" s="238"/>
      <c r="I412" s="238"/>
      <c r="J412" s="238"/>
    </row>
    <row r="414" spans="2:10" x14ac:dyDescent="0.3">
      <c r="D414" s="239" t="s">
        <v>290</v>
      </c>
      <c r="E414" s="240"/>
      <c r="F414" s="240"/>
      <c r="G414" s="240"/>
      <c r="H414" s="240"/>
      <c r="I414" s="240"/>
      <c r="J414" s="241"/>
    </row>
    <row r="416" spans="2:10" x14ac:dyDescent="0.3">
      <c r="D416" s="3" t="s">
        <v>291</v>
      </c>
      <c r="E416" s="4"/>
      <c r="F416" s="4"/>
      <c r="G416" s="4"/>
      <c r="H416" s="4"/>
      <c r="I416" s="4"/>
      <c r="J416" s="4"/>
    </row>
    <row r="417" spans="2:10" x14ac:dyDescent="0.3">
      <c r="C417" s="242">
        <f ca="1">+J409</f>
        <v>0.19280151724815367</v>
      </c>
      <c r="D417" s="243">
        <f>+E417-1</f>
        <v>11.5</v>
      </c>
      <c r="E417" s="243">
        <f>+F417-1</f>
        <v>12.5</v>
      </c>
      <c r="F417" s="243">
        <f>+G417-1</f>
        <v>13.5</v>
      </c>
      <c r="G417" s="244">
        <v>14.5</v>
      </c>
      <c r="H417" s="243">
        <f>+G417+1</f>
        <v>15.5</v>
      </c>
      <c r="I417" s="243">
        <f>+H417+1</f>
        <v>16.5</v>
      </c>
      <c r="J417" s="243">
        <f>+I417+1</f>
        <v>17.5</v>
      </c>
    </row>
    <row r="418" spans="2:10" x14ac:dyDescent="0.3">
      <c r="C418" s="245">
        <f t="shared" ref="C418:C419" si="49">+C419-1</f>
        <v>12</v>
      </c>
      <c r="D418" s="246">
        <v>0.22100560069084166</v>
      </c>
      <c r="E418" s="246">
        <v>0.24288967251777652</v>
      </c>
      <c r="F418" s="246">
        <v>0.2633234083652497</v>
      </c>
      <c r="G418" s="246">
        <v>0.28250676989555368</v>
      </c>
      <c r="H418" s="246">
        <v>0.30059987902641305</v>
      </c>
      <c r="I418" s="246">
        <v>0.31773304343223574</v>
      </c>
      <c r="J418" s="246">
        <v>0.3340138256549835</v>
      </c>
    </row>
    <row r="419" spans="2:10" x14ac:dyDescent="0.3">
      <c r="C419" s="245">
        <f t="shared" si="49"/>
        <v>13</v>
      </c>
      <c r="D419" s="246">
        <v>0.18825122714042664</v>
      </c>
      <c r="E419" s="246">
        <v>0.20946969389915471</v>
      </c>
      <c r="F419" s="246">
        <v>0.22928614020347596</v>
      </c>
      <c r="G419" s="246">
        <v>0.24789338707923889</v>
      </c>
      <c r="H419" s="246">
        <v>0.26544585824012756</v>
      </c>
      <c r="I419" s="246">
        <v>0.282069343328476</v>
      </c>
      <c r="J419" s="246">
        <v>0.29786769747734076</v>
      </c>
    </row>
    <row r="420" spans="2:10" x14ac:dyDescent="0.3">
      <c r="B420" s="28" t="s">
        <v>292</v>
      </c>
      <c r="C420" s="245">
        <f>+C421-1</f>
        <v>14</v>
      </c>
      <c r="D420" s="246">
        <v>0.16035602688789372</v>
      </c>
      <c r="E420" s="246">
        <v>0.18100207448005678</v>
      </c>
      <c r="F420" s="246">
        <v>0.20028794407844547</v>
      </c>
      <c r="G420" s="246">
        <v>0.21840017437934875</v>
      </c>
      <c r="H420" s="246">
        <v>0.2354883134365082</v>
      </c>
      <c r="I420" s="246">
        <v>0.25167416930198683</v>
      </c>
      <c r="J420" s="246">
        <v>0.26705842614173891</v>
      </c>
    </row>
    <row r="421" spans="2:10" x14ac:dyDescent="0.3">
      <c r="B421" s="28" t="s">
        <v>293</v>
      </c>
      <c r="C421" s="199">
        <v>15</v>
      </c>
      <c r="D421" s="246">
        <v>0.15136538147926332</v>
      </c>
      <c r="E421" s="246">
        <v>0.15630123019218448</v>
      </c>
      <c r="F421" s="246">
        <v>0.1751225292682648</v>
      </c>
      <c r="G421" s="246">
        <v>0.19280151724815367</v>
      </c>
      <c r="H421" s="246">
        <v>0.20948340296745305</v>
      </c>
      <c r="I421" s="246">
        <v>0.22528651356697085</v>
      </c>
      <c r="J421" s="246">
        <v>0.2403086960315704</v>
      </c>
    </row>
    <row r="422" spans="2:10" x14ac:dyDescent="0.3">
      <c r="C422" s="245">
        <f>+C421+1</f>
        <v>16</v>
      </c>
      <c r="D422" s="246">
        <v>0.14645754694938659</v>
      </c>
      <c r="E422" s="246">
        <v>0.14645754694938659</v>
      </c>
      <c r="F422" s="246">
        <v>0.15296232104301455</v>
      </c>
      <c r="G422" s="246">
        <v>0.17025657296180727</v>
      </c>
      <c r="H422" s="246">
        <v>0.18657780289649964</v>
      </c>
      <c r="I422" s="246">
        <v>0.20204123854637146</v>
      </c>
      <c r="J422" s="246">
        <v>0.21674218773841855</v>
      </c>
    </row>
    <row r="423" spans="2:10" x14ac:dyDescent="0.3">
      <c r="C423" s="245">
        <f t="shared" ref="C423:C424" si="50">+C422+1</f>
        <v>17</v>
      </c>
      <c r="D423" s="246">
        <v>0.14232566952705386</v>
      </c>
      <c r="E423" s="246">
        <v>0.14232566952705386</v>
      </c>
      <c r="F423" s="246">
        <v>0.14232566952705386</v>
      </c>
      <c r="G423" s="246">
        <v>0.1501648247241974</v>
      </c>
      <c r="H423" s="246">
        <v>0.16616209149360661</v>
      </c>
      <c r="I423" s="246">
        <v>0.1813205063343048</v>
      </c>
      <c r="J423" s="246">
        <v>0.19573307633399964</v>
      </c>
    </row>
    <row r="424" spans="2:10" x14ac:dyDescent="0.3">
      <c r="C424" s="245">
        <f t="shared" si="50"/>
        <v>18</v>
      </c>
      <c r="D424" s="246">
        <v>0.13879868388175964</v>
      </c>
      <c r="E424" s="246">
        <v>0.13879868388175964</v>
      </c>
      <c r="F424" s="246">
        <v>0.13879868388175964</v>
      </c>
      <c r="G424" s="246">
        <v>0.13879868388175964</v>
      </c>
      <c r="H424" s="246">
        <v>0.14778675436973573</v>
      </c>
      <c r="I424" s="246">
        <v>0.16266860365867616</v>
      </c>
      <c r="J424" s="246">
        <v>0.17681974768638611</v>
      </c>
    </row>
    <row r="426" spans="2:10" x14ac:dyDescent="0.3">
      <c r="D426" s="239" t="s">
        <v>294</v>
      </c>
      <c r="E426" s="240"/>
      <c r="F426" s="240"/>
      <c r="G426" s="240"/>
      <c r="H426" s="240"/>
      <c r="I426" s="240"/>
      <c r="J426" s="241"/>
    </row>
    <row r="428" spans="2:10" x14ac:dyDescent="0.3">
      <c r="D428" s="3" t="s">
        <v>291</v>
      </c>
      <c r="E428" s="4"/>
      <c r="F428" s="4"/>
      <c r="G428" s="4"/>
      <c r="H428" s="4"/>
      <c r="I428" s="4"/>
      <c r="J428" s="4"/>
    </row>
    <row r="429" spans="2:10" x14ac:dyDescent="0.3">
      <c r="C429" s="247">
        <f ca="1">+J410</f>
        <v>2.3911171216091276</v>
      </c>
      <c r="D429" s="243">
        <f t="shared" ref="D429:E429" si="51">+E429-1</f>
        <v>11.5</v>
      </c>
      <c r="E429" s="243">
        <f t="shared" si="51"/>
        <v>12.5</v>
      </c>
      <c r="F429" s="243">
        <f>+G429-1</f>
        <v>13.5</v>
      </c>
      <c r="G429" s="244">
        <v>14.5</v>
      </c>
      <c r="H429" s="243">
        <f>+G429+1</f>
        <v>15.5</v>
      </c>
      <c r="I429" s="243">
        <f t="shared" ref="I429:J429" si="52">+H429+1</f>
        <v>16.5</v>
      </c>
      <c r="J429" s="243">
        <f t="shared" si="52"/>
        <v>17.5</v>
      </c>
    </row>
    <row r="430" spans="2:10" x14ac:dyDescent="0.3">
      <c r="C430" s="245">
        <f t="shared" ref="C430:C431" si="53">+C431-1</f>
        <v>12</v>
      </c>
      <c r="D430" s="248">
        <v>2.6863199990869262</v>
      </c>
      <c r="E430" s="248">
        <v>2.9351061831968654</v>
      </c>
      <c r="F430" s="248">
        <v>3.1838923673068038</v>
      </c>
      <c r="G430" s="248">
        <v>3.4326785514167431</v>
      </c>
      <c r="H430" s="248">
        <v>3.6814647355266814</v>
      </c>
      <c r="I430" s="248">
        <v>3.9302509196366207</v>
      </c>
      <c r="J430" s="248">
        <v>4.1790371037465599</v>
      </c>
    </row>
    <row r="431" spans="2:10" x14ac:dyDescent="0.3">
      <c r="C431" s="245">
        <f t="shared" si="53"/>
        <v>13</v>
      </c>
      <c r="D431" s="248">
        <v>2.3460544911162784</v>
      </c>
      <c r="E431" s="248">
        <v>2.5622108366612713</v>
      </c>
      <c r="F431" s="248">
        <v>2.7783671822062632</v>
      </c>
      <c r="G431" s="248">
        <v>2.9945235277512556</v>
      </c>
      <c r="H431" s="248">
        <v>3.210679873296248</v>
      </c>
      <c r="I431" s="248">
        <v>3.4268362188412405</v>
      </c>
      <c r="J431" s="248">
        <v>3.6429925643862324</v>
      </c>
    </row>
    <row r="432" spans="2:10" x14ac:dyDescent="0.3">
      <c r="B432" s="28" t="s">
        <v>292</v>
      </c>
      <c r="C432" s="245">
        <f>+C433-1</f>
        <v>14</v>
      </c>
      <c r="D432" s="248">
        <v>2.0845935783915244</v>
      </c>
      <c r="E432" s="248">
        <v>2.2756868639412788</v>
      </c>
      <c r="F432" s="248">
        <v>2.4667801494910329</v>
      </c>
      <c r="G432" s="248">
        <v>2.6578734350407873</v>
      </c>
      <c r="H432" s="248">
        <v>2.8489667205905409</v>
      </c>
      <c r="I432" s="248">
        <v>3.0400600061402958</v>
      </c>
      <c r="J432" s="248">
        <v>3.2311532916900498</v>
      </c>
    </row>
    <row r="433" spans="2:10" x14ac:dyDescent="0.3">
      <c r="B433" s="28" t="s">
        <v>293</v>
      </c>
      <c r="C433" s="199">
        <v>15</v>
      </c>
      <c r="D433" s="248">
        <v>2.0055555916057668</v>
      </c>
      <c r="E433" s="248">
        <v>2.0486403115853871</v>
      </c>
      <c r="F433" s="248">
        <v>2.2198787165972571</v>
      </c>
      <c r="G433" s="248">
        <v>2.3911171216091276</v>
      </c>
      <c r="H433" s="248">
        <v>2.5623555266209981</v>
      </c>
      <c r="I433" s="248">
        <v>2.733593931632869</v>
      </c>
      <c r="J433" s="248">
        <v>2.9048323366447382</v>
      </c>
    </row>
    <row r="434" spans="2:10" x14ac:dyDescent="0.3">
      <c r="C434" s="245">
        <f>+C433+1</f>
        <v>16</v>
      </c>
      <c r="D434" s="248">
        <v>1.9634477953471396</v>
      </c>
      <c r="E434" s="248">
        <v>1.9634477953471396</v>
      </c>
      <c r="F434" s="248">
        <v>2.0194139323259379</v>
      </c>
      <c r="G434" s="248">
        <v>2.1745350221789934</v>
      </c>
      <c r="H434" s="248">
        <v>2.3296561120320485</v>
      </c>
      <c r="I434" s="248">
        <v>2.4847772018851049</v>
      </c>
      <c r="J434" s="248">
        <v>2.6398982917381604</v>
      </c>
    </row>
    <row r="435" spans="2:10" x14ac:dyDescent="0.3">
      <c r="C435" s="245">
        <f t="shared" ref="C435:C436" si="54">+C434+1</f>
        <v>17</v>
      </c>
      <c r="D435" s="248">
        <v>1.9285567523922151</v>
      </c>
      <c r="E435" s="248">
        <v>1.9285567523922151</v>
      </c>
      <c r="F435" s="248">
        <v>1.9285567523922151</v>
      </c>
      <c r="G435" s="248">
        <v>1.9951880531671533</v>
      </c>
      <c r="H435" s="248">
        <v>2.1369648187014061</v>
      </c>
      <c r="I435" s="248">
        <v>2.2787415842356586</v>
      </c>
      <c r="J435" s="248">
        <v>2.4205183497699108</v>
      </c>
    </row>
    <row r="436" spans="2:10" x14ac:dyDescent="0.3">
      <c r="C436" s="245">
        <f t="shared" si="54"/>
        <v>18</v>
      </c>
      <c r="D436" s="248">
        <v>1.8991736081410522</v>
      </c>
      <c r="E436" s="248">
        <v>1.8991736081410522</v>
      </c>
      <c r="F436" s="248">
        <v>1.8991736081410522</v>
      </c>
      <c r="G436" s="248">
        <v>1.8991736081410522</v>
      </c>
      <c r="H436" s="248">
        <v>1.9747804748168181</v>
      </c>
      <c r="I436" s="248">
        <v>2.1053269522265903</v>
      </c>
      <c r="J436" s="248">
        <v>2.2358734296363618</v>
      </c>
    </row>
  </sheetData>
  <conditionalFormatting sqref="E403:J407">
    <cfRule type="cellIs" dxfId="32" priority="27" operator="greaterThan">
      <formula>0</formula>
    </cfRule>
    <cfRule type="cellIs" dxfId="31" priority="28" operator="lessThan">
      <formula>0</formula>
    </cfRule>
  </conditionalFormatting>
  <conditionalFormatting sqref="F165:J165">
    <cfRule type="cellIs" dxfId="30" priority="25" operator="equal">
      <formula>0</formula>
    </cfRule>
    <cfRule type="cellIs" dxfId="29" priority="26" operator="equal">
      <formula>1</formula>
    </cfRule>
  </conditionalFormatting>
  <conditionalFormatting sqref="D117">
    <cfRule type="cellIs" dxfId="28" priority="22" operator="equal">
      <formula>"Base"</formula>
    </cfRule>
    <cfRule type="cellIs" dxfId="27" priority="23" operator="equal">
      <formula>"Downside"</formula>
    </cfRule>
    <cfRule type="cellIs" dxfId="26" priority="24" operator="equal">
      <formula>"Upside"</formula>
    </cfRule>
  </conditionalFormatting>
  <conditionalFormatting sqref="H336:J336 H340:J340">
    <cfRule type="cellIs" dxfId="25" priority="20" operator="equal">
      <formula>0</formula>
    </cfRule>
    <cfRule type="cellIs" dxfId="24" priority="21" operator="equal">
      <formula>1</formula>
    </cfRule>
  </conditionalFormatting>
  <conditionalFormatting sqref="F313:J313">
    <cfRule type="cellIs" dxfId="23" priority="18" operator="equal">
      <formula>0</formula>
    </cfRule>
    <cfRule type="cellIs" dxfId="22" priority="19" operator="equal">
      <formula>1</formula>
    </cfRule>
  </conditionalFormatting>
  <conditionalFormatting sqref="G339:J339">
    <cfRule type="cellIs" dxfId="21" priority="16" operator="equal">
      <formula>"Breached"</formula>
    </cfRule>
    <cfRule type="cellIs" dxfId="20" priority="17" operator="equal">
      <formula>"Passed"</formula>
    </cfRule>
  </conditionalFormatting>
  <conditionalFormatting sqref="G341:J341">
    <cfRule type="cellIs" dxfId="19" priority="10" operator="equal">
      <formula>"Breached"</formula>
    </cfRule>
    <cfRule type="cellIs" dxfId="18" priority="11" operator="equal">
      <formula>"Passed"</formula>
    </cfRule>
  </conditionalFormatting>
  <conditionalFormatting sqref="H341:J341">
    <cfRule type="cellIs" dxfId="17" priority="14" operator="equal">
      <formula>"Breached"</formula>
    </cfRule>
    <cfRule type="cellIs" dxfId="16" priority="15" operator="equal">
      <formula>"Passed"</formula>
    </cfRule>
  </conditionalFormatting>
  <conditionalFormatting sqref="G339:J339">
    <cfRule type="cellIs" dxfId="15" priority="12" operator="equal">
      <formula>"Breached"</formula>
    </cfRule>
    <cfRule type="cellIs" dxfId="14" priority="13" operator="equal">
      <formula>"Passed"</formula>
    </cfRule>
  </conditionalFormatting>
  <conditionalFormatting sqref="D230">
    <cfRule type="cellIs" dxfId="13" priority="7" operator="equal">
      <formula>"Base"</formula>
    </cfRule>
    <cfRule type="cellIs" dxfId="12" priority="8" operator="equal">
      <formula>"Downside"</formula>
    </cfRule>
    <cfRule type="cellIs" dxfId="11" priority="9" operator="equal">
      <formula>"Upside"</formula>
    </cfRule>
  </conditionalFormatting>
  <conditionalFormatting sqref="G341">
    <cfRule type="cellIs" dxfId="10" priority="5" operator="equal">
      <formula>"Breached"</formula>
    </cfRule>
    <cfRule type="cellIs" dxfId="9" priority="6" operator="equal">
      <formula>"Passed"</formula>
    </cfRule>
  </conditionalFormatting>
  <conditionalFormatting sqref="F169:J169">
    <cfRule type="cellIs" dxfId="8" priority="3" operator="equal">
      <formula>0</formula>
    </cfRule>
    <cfRule type="cellIs" dxfId="7" priority="4" operator="equal">
      <formula>1</formula>
    </cfRule>
  </conditionalFormatting>
  <conditionalFormatting sqref="H342:J342">
    <cfRule type="cellIs" dxfId="6" priority="1" operator="equal">
      <formula>0</formula>
    </cfRule>
    <cfRule type="cellIs" dxfId="5" priority="2" operator="equal">
      <formula>1</formula>
    </cfRule>
  </conditionalFormatting>
  <conditionalFormatting sqref="F393:F394">
    <cfRule type="top10" dxfId="4" priority="29" percent="1" rank="10"/>
  </conditionalFormatting>
  <conditionalFormatting sqref="G393:G394">
    <cfRule type="top10" dxfId="3" priority="30" percent="1" rank="10"/>
  </conditionalFormatting>
  <conditionalFormatting sqref="H393:H394">
    <cfRule type="top10" dxfId="2" priority="31" percent="1" rank="10"/>
  </conditionalFormatting>
  <conditionalFormatting sqref="I393:I394">
    <cfRule type="top10" dxfId="1" priority="32" percent="1" rank="10"/>
  </conditionalFormatting>
  <conditionalFormatting sqref="J393:J394">
    <cfRule type="top10" dxfId="0" priority="33" percent="1" rank="10"/>
  </conditionalFormatting>
  <dataValidations disablePrompts="1" count="3">
    <dataValidation type="list" allowBlank="1" showInputMessage="1" showErrorMessage="1" sqref="E37" xr:uid="{1CC8C148-E0C2-4BC2-BC3E-F44DB33B5A61}">
      <formula1>"2023,2024,2025"</formula1>
    </dataValidation>
    <dataValidation type="list" showInputMessage="1" showErrorMessage="1" sqref="E36" xr:uid="{7CD08CFC-B02D-46BC-B9CC-C7FD945CAC23}">
      <formula1>"N/A ,2023,2024,2025"</formula1>
    </dataValidation>
    <dataValidation type="list" showInputMessage="1" showErrorMessage="1" sqref="J35" xr:uid="{94A87989-0956-4C22-B0E3-0EF5C2BD8D61}">
      <formula1>"N/A ,2021,2022,2023,2024,2025"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Financials</vt:lpstr>
      <vt:lpstr>Empty</vt:lpstr>
      <vt:lpstr>Completed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2020-11-02T18:40:43Z</dcterms:created>
  <dcterms:modified xsi:type="dcterms:W3CDTF">2020-11-02T18:41:31Z</dcterms:modified>
</cp:coreProperties>
</file>